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vertonparishcouncil-my.sharepoint.com/personal/clerk_silvertonparishcouncil_org_uk/Documents/Parish Files Transfer/Budget/2025/"/>
    </mc:Choice>
  </mc:AlternateContent>
  <xr:revisionPtr revIDLastSave="4" documentId="8_{AB3D8419-7186-4442-8387-9578C31AA3DA}" xr6:coauthVersionLast="47" xr6:coauthVersionMax="47" xr10:uidLastSave="{E30D6ABF-0290-4DD5-AE9F-8965BF4D0A09}"/>
  <bookViews>
    <workbookView xWindow="-108" yWindow="-108" windowWidth="23256" windowHeight="12456" xr2:uid="{00000000-000D-0000-FFFF-FFFF00000000}"/>
  </bookViews>
  <sheets>
    <sheet name="Forecast Spend 24-25" sheetId="6" r:id="rId1"/>
    <sheet name="Comparable Precepts" sheetId="8" r:id="rId2"/>
    <sheet name="Spend to End Nov" sheetId="1" state="hidden" r:id="rId3"/>
    <sheet name="Anticipated spend to End Year" sheetId="4" state="hidden" r:id="rId4"/>
    <sheet name="Notes" sheetId="7" state="hidden" r:id="rId5"/>
  </sheets>
  <definedNames>
    <definedName name="_xlnm.Print_Titles" localSheetId="0">'Forecast Spend 24-25'!$A:$A,'Forecast Spend 24-25'!$1:$2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6" l="1"/>
  <c r="M2" i="6"/>
  <c r="M16" i="6"/>
  <c r="I5" i="6"/>
  <c r="G6" i="6"/>
  <c r="K6" i="6"/>
  <c r="G72" i="6" l="1"/>
  <c r="G71" i="6"/>
  <c r="K35" i="6"/>
  <c r="I36" i="6"/>
  <c r="F27" i="6"/>
  <c r="G27" i="6" s="1"/>
  <c r="I19" i="6"/>
  <c r="F19" i="6"/>
  <c r="F18" i="6"/>
  <c r="G18" i="6" s="1"/>
  <c r="I18" i="6" s="1"/>
  <c r="K11" i="6"/>
  <c r="L6" i="6"/>
  <c r="F10" i="6"/>
  <c r="G10" i="6" s="1"/>
  <c r="K10" i="6" s="1"/>
  <c r="L10" i="6"/>
  <c r="L22" i="6"/>
  <c r="G22" i="6"/>
  <c r="K22" i="6" s="1"/>
  <c r="F8" i="6"/>
  <c r="G8" i="6" s="1"/>
  <c r="K8" i="6" s="1"/>
  <c r="K19" i="6"/>
  <c r="K9" i="6"/>
  <c r="L75" i="6"/>
  <c r="L72" i="6"/>
  <c r="L62" i="6"/>
  <c r="L58" i="6"/>
  <c r="L54" i="6"/>
  <c r="L49" i="6"/>
  <c r="C38" i="6"/>
  <c r="C77" i="6" s="1"/>
  <c r="F34" i="6"/>
  <c r="G34" i="6" s="1"/>
  <c r="I34" i="6" s="1"/>
  <c r="B45" i="6"/>
  <c r="B46" i="6" s="1"/>
  <c r="G12" i="6"/>
  <c r="K12" i="6" s="1"/>
  <c r="L8" i="6"/>
  <c r="L11" i="6"/>
  <c r="L28" i="6"/>
  <c r="L30" i="6"/>
  <c r="L31" i="6"/>
  <c r="L9" i="6"/>
  <c r="L32" i="6"/>
  <c r="L35" i="6"/>
  <c r="L12" i="6"/>
  <c r="G55" i="6"/>
  <c r="G51" i="6"/>
  <c r="B70" i="6"/>
  <c r="G63" i="6" s="1"/>
  <c r="F36" i="6"/>
  <c r="G36" i="6" s="1"/>
  <c r="F5" i="6"/>
  <c r="G5" i="6" s="1"/>
  <c r="F21" i="6"/>
  <c r="G21" i="6" s="1"/>
  <c r="I21" i="6" s="1"/>
  <c r="F29" i="6"/>
  <c r="G29" i="6" s="1"/>
  <c r="I29" i="6" s="1"/>
  <c r="E38" i="6"/>
  <c r="E77" i="6" s="1"/>
  <c r="G32" i="6"/>
  <c r="K32" i="6" s="1"/>
  <c r="G31" i="6"/>
  <c r="K31" i="6" s="1"/>
  <c r="I44" i="6"/>
  <c r="I42" i="6"/>
  <c r="G30" i="6"/>
  <c r="K30" i="6" s="1"/>
  <c r="G28" i="6"/>
  <c r="K28" i="6" s="1"/>
  <c r="G26" i="6"/>
  <c r="I26" i="6" s="1"/>
  <c r="G33" i="6"/>
  <c r="G16" i="6"/>
  <c r="I16" i="6" s="1"/>
  <c r="G24" i="6"/>
  <c r="G13" i="6"/>
  <c r="I13" i="6" s="1"/>
  <c r="G25" i="6"/>
  <c r="I25" i="6" s="1"/>
  <c r="G17" i="6"/>
  <c r="G23" i="6"/>
  <c r="I23" i="6" s="1"/>
  <c r="G14" i="6"/>
  <c r="I14" i="6" s="1"/>
  <c r="F20" i="6"/>
  <c r="G20" i="6" s="1"/>
  <c r="G15" i="6"/>
  <c r="I15" i="6" s="1"/>
  <c r="G96" i="6"/>
  <c r="G74" i="1"/>
  <c r="I33" i="1"/>
  <c r="I27" i="6" l="1"/>
  <c r="L27" i="6" s="1"/>
  <c r="K27" i="6"/>
  <c r="K14" i="6"/>
  <c r="K23" i="6"/>
  <c r="K26" i="6"/>
  <c r="K16" i="6"/>
  <c r="K20" i="6"/>
  <c r="K33" i="6"/>
  <c r="K15" i="6"/>
  <c r="K17" i="6"/>
  <c r="K34" i="6"/>
  <c r="K18" i="6"/>
  <c r="K29" i="6"/>
  <c r="K5" i="6"/>
  <c r="K24" i="6"/>
  <c r="K13" i="6"/>
  <c r="K36" i="6"/>
  <c r="K21" i="6"/>
  <c r="K25" i="6"/>
  <c r="K7" i="6"/>
  <c r="L5" i="6"/>
  <c r="L16" i="6"/>
  <c r="L24" i="6"/>
  <c r="L26" i="6"/>
  <c r="L33" i="6"/>
  <c r="L36" i="6"/>
  <c r="L17" i="6"/>
  <c r="L23" i="6"/>
  <c r="L20" i="6"/>
  <c r="L29" i="6"/>
  <c r="L14" i="6"/>
  <c r="L19" i="6"/>
  <c r="L34" i="6"/>
  <c r="L18" i="6"/>
  <c r="L15" i="6"/>
  <c r="L7" i="6"/>
  <c r="L13" i="6"/>
  <c r="L21" i="6"/>
  <c r="L25" i="6"/>
  <c r="I45" i="6"/>
  <c r="I46" i="6" s="1"/>
  <c r="G38" i="6"/>
  <c r="F38" i="6"/>
  <c r="F77" i="6" s="1"/>
  <c r="G33" i="1"/>
  <c r="G77" i="6" l="1"/>
  <c r="G85" i="6" s="1"/>
  <c r="L38" i="6"/>
  <c r="I38" i="6"/>
  <c r="I77" i="6" s="1"/>
  <c r="K38" i="6"/>
  <c r="G84" i="6" l="1"/>
  <c r="G86" i="6" s="1"/>
  <c r="G89" i="6" s="1"/>
  <c r="L77" i="6"/>
  <c r="I86" i="6" l="1"/>
  <c r="I89" i="6" s="1"/>
  <c r="K89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tc={D37B52FA-2650-469F-8AA9-A987E70C6F0A}</author>
    <author>tc={BF81A05E-03B2-4B36-8FB9-2FB942A1B1B8}</author>
    <author>tc={984ACAD3-42DF-4F56-920A-96EB857517F0}</author>
    <author>tc={6C3185FD-C9DD-4753-A646-098EF79482CB}</author>
    <author>tc={C736C098-EBC2-4295-86BF-276118B6FA83}</author>
    <author>Simon Hedges</author>
    <author>tc={0F1A6C2D-9D5A-4229-8C9A-37736D42E107}</author>
    <author>tc={4EC01B61-364A-482A-AEED-D0C0B13BA421}</author>
    <author>tc={37E6A3A7-CF8A-4876-8B22-22D2C12347E7}</author>
    <author>tc={C4C60BF3-F8E2-48BD-80F5-77000CEB5567}</author>
    <author>tc={39C16795-FC6D-4459-AC35-E46A13B51D3A}</author>
    <author>tc={B44B69D8-F3FC-4737-9951-A876DAD553C0}</author>
    <author>tc={2276A2DE-477A-4774-AAD8-F9D4927FE931}</author>
  </authors>
  <commentList>
    <comment ref="F8" authorId="0" shapeId="0" xr:uid="{D37B52FA-2650-469F-8AA9-A987E70C6F0A}">
      <text>
        <t>[Threaded comment]
Your version of Excel allows you to read this threaded comment; however, any edits to it will get removed if the file is opened in a newer version of Excel. Learn more: https://go.microsoft.com/fwlink/?linkid=870924
Comment:
    3 month of budget, plus printer cost</t>
      </text>
    </comment>
    <comment ref="I8" authorId="1" shapeId="0" xr:uid="{BF81A05E-03B2-4B36-8FB9-2FB942A1B1B8}">
      <text>
        <t>[Threaded comment]
Your version of Excel allows you to read this threaded comment; however, any edits to it will get removed if the file is opened in a newer version of Excel. Learn more: https://go.microsoft.com/fwlink/?linkid=870924
Comment:
    Excludes asterisked items which are included elsewhere.  So keep as per 2024/25 budget plus inflation.</t>
      </text>
    </comment>
    <comment ref="I10" authorId="2" shapeId="0" xr:uid="{984ACAD3-42DF-4F56-920A-96EB857517F0}">
      <text>
        <t>[Threaded comment]
Your version of Excel allows you to read this threaded comment; however, any edits to it will get removed if the file is opened in a newer version of Excel. Learn more: https://go.microsoft.com/fwlink/?linkid=870924
Comment:
    Don’t yet know the specific charges for our account.</t>
      </text>
    </comment>
    <comment ref="A11" authorId="3" shapeId="0" xr:uid="{6C3185FD-C9DD-4753-A646-098EF79482CB}">
      <text>
        <t>[Threaded comment]
Your version of Excel allows you to read this threaded comment; however, any edits to it will get removed if the file is opened in a newer version of Excel. Learn more: https://go.microsoft.com/fwlink/?linkid=870924
Comment:
    SLCC - £120, ICO £40</t>
      </text>
    </comment>
    <comment ref="F18" authorId="4" shapeId="0" xr:uid="{C736C098-EBC2-4295-86BF-276118B6FA83}">
      <text>
        <t>[Threaded comment]
Your version of Excel allows you to read this threaded comment; however, any edits to it will get removed if the file is opened in a newer version of Excel. Learn more: https://go.microsoft.com/fwlink/?linkid=870924
Comment:
    3 months at spend rate to end dec + 400 for Church Road Clearance</t>
      </text>
    </comment>
    <comment ref="I28" authorId="5" shapeId="0" xr:uid="{065408CB-E012-434F-995D-9F5B32EE4A8A}">
      <text>
        <r>
          <rPr>
            <b/>
            <sz val="9"/>
            <color indexed="81"/>
            <rFont val="Tahoma"/>
            <family val="2"/>
          </rPr>
          <t>Simon Hedges:</t>
        </r>
        <r>
          <rPr>
            <sz val="9"/>
            <color indexed="81"/>
            <rFont val="Tahoma"/>
            <family val="2"/>
          </rPr>
          <t xml:space="preserve">
Must always remain in, in case an election needs calling.</t>
        </r>
      </text>
    </comment>
    <comment ref="A30" authorId="6" shapeId="0" xr:uid="{0F1A6C2D-9D5A-4229-8C9A-37736D42E107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was named CLT Forum.  Is there a reason that this is in this section of the budget, rather than the “Funds” section below?</t>
      </text>
    </comment>
    <comment ref="I31" authorId="7" shapeId="0" xr:uid="{4EC01B61-364A-482A-AEED-D0C0B13BA421}">
      <text>
        <t>[Threaded comment]
Your version of Excel allows you to read this threaded comment; however, any edits to it will get removed if the file is opened in a newer version of Excel. Learn more: https://go.microsoft.com/fwlink/?linkid=870924
Comment:
    Reduce to £500 as no spend in 2024/25</t>
      </text>
    </comment>
    <comment ref="F32" authorId="8" shapeId="0" xr:uid="{37E6A3A7-CF8A-4876-8B22-22D2C12347E7}">
      <text>
        <t>[Threaded comment]
Your version of Excel allows you to read this threaded comment; however, any edits to it will get removed if the file is opened in a newer version of Excel. Learn more: https://go.microsoft.com/fwlink/?linkid=870924
Comment:
    Play Area ROSPA Repairs</t>
      </text>
    </comment>
    <comment ref="A49" authorId="9" shapeId="0" xr:uid="{C4C60BF3-F8E2-48BD-80F5-77000CEB5567}">
      <text>
        <t>[Threaded comment]
Your version of Excel allows you to read this threaded comment; however, any edits to it will get removed if the file is opened in a newer version of Excel. Learn more: https://go.microsoft.com/fwlink/?linkid=870924
Comment:
    Community activities and cohesion, including the growth of social activities in the parish, encouraging volunteering.</t>
      </text>
    </comment>
    <comment ref="I49" authorId="10" shapeId="0" xr:uid="{39C16795-FC6D-4459-AC35-E46A13B51D3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Increase, as we are spending a good proportion of this budget on the Social worker, and we may need to spend more in 2025/26 to encourage more community activity and volunteering in the parish.</t>
      </text>
    </comment>
    <comment ref="A54" authorId="11" shapeId="0" xr:uid="{B44B69D8-F3FC-4737-9951-A876DAD553C0}">
      <text>
        <t>[Threaded comment]
Your version of Excel allows you to read this threaded comment; however, any edits to it will get removed if the file is opened in a newer version of Excel. Learn more: https://go.microsoft.com/fwlink/?linkid=870924
Comment:
    Lime Avenue Regeneration, other Tree Planting  and Maintenance</t>
      </text>
    </comment>
    <comment ref="A58" authorId="12" shapeId="0" xr:uid="{2276A2DE-477A-4774-AAD8-F9D4927FE931}">
      <text>
        <t>[Threaded comment]
Your version of Excel allows you to read this threaded comment; however, any edits to it will get removed if the file is opened in a newer version of Excel. Learn more: https://go.microsoft.com/fwlink/?linkid=870924
Comment:
    Fire Station, Bus Shelters, Gazebo, Tennis Hut, War Memorial, Additional Traffic Signs and Lighting, Flagpole (via RBL), Equipment other than on Big Rec.  To be reviewed in 25/26 - consider splitting into other funds.</t>
      </text>
    </comment>
    <comment ref="B70" authorId="5" shapeId="0" xr:uid="{FF65B0AC-A41C-434E-95BD-3993ACF65FF0}">
      <text>
        <r>
          <rPr>
            <b/>
            <sz val="9"/>
            <color indexed="81"/>
            <rFont val="Tahoma"/>
            <family val="2"/>
          </rPr>
          <t>Simon Hedges:</t>
        </r>
        <r>
          <rPr>
            <sz val="9"/>
            <color indexed="81"/>
            <rFont val="Tahoma"/>
            <family val="2"/>
          </rPr>
          <t xml:space="preserve">
Doesn't match the £4187.58 in the wording.</t>
        </r>
      </text>
    </comment>
    <comment ref="E71" authorId="5" shapeId="0" xr:uid="{B7E3055E-A14C-4203-BB75-DF5F7594FD68}">
      <text>
        <r>
          <rPr>
            <b/>
            <sz val="9"/>
            <color indexed="81"/>
            <rFont val="Tahoma"/>
            <family val="2"/>
          </rPr>
          <t>Simon Hedges:</t>
        </r>
        <r>
          <rPr>
            <sz val="9"/>
            <color indexed="81"/>
            <rFont val="Tahoma"/>
            <family val="2"/>
          </rPr>
          <t xml:space="preserve">
Should ths not be part of the Community Fund?</t>
        </r>
      </text>
    </comment>
  </commentList>
</comments>
</file>

<file path=xl/sharedStrings.xml><?xml version="1.0" encoding="utf-8"?>
<sst xmlns="http://schemas.openxmlformats.org/spreadsheetml/2006/main" count="250" uniqueCount="198">
  <si>
    <t>Clerk's PAYE/NI</t>
  </si>
  <si>
    <t>Clerk's expenses</t>
  </si>
  <si>
    <t>Contractor</t>
  </si>
  <si>
    <t>Contractor - repairs and maintenance</t>
  </si>
  <si>
    <t>Insurance</t>
  </si>
  <si>
    <t>Churchyard grant</t>
  </si>
  <si>
    <t>Training</t>
  </si>
  <si>
    <t>Clock winding</t>
  </si>
  <si>
    <t>Internal Auditor's fee</t>
  </si>
  <si>
    <t>Election contingencies</t>
  </si>
  <si>
    <t>Newsletter contribution</t>
  </si>
  <si>
    <t>MDDC - safety inspection re play equipment</t>
  </si>
  <si>
    <t xml:space="preserve">Thomas Westcott - Accountant's fee </t>
  </si>
  <si>
    <t xml:space="preserve">RBL - Wreath - remembrance day </t>
  </si>
  <si>
    <t>Clerk's salary</t>
  </si>
  <si>
    <t>Christmas tree/celebration</t>
  </si>
  <si>
    <t>Annual Clock Maintenance</t>
  </si>
  <si>
    <t>Replacement defib pads</t>
  </si>
  <si>
    <r>
      <t>Annual subs (</t>
    </r>
    <r>
      <rPr>
        <sz val="10"/>
        <rFont val="Arial"/>
        <family val="2"/>
      </rPr>
      <t>SLCC , LCPS + Info Commissioner )</t>
    </r>
  </si>
  <si>
    <t>email and website</t>
  </si>
  <si>
    <t>Street Market contribution</t>
  </si>
  <si>
    <t>Noticeboard @ Ellerhayes</t>
  </si>
  <si>
    <t>Grass Cutting (Parsons Landscapes)</t>
  </si>
  <si>
    <t>E-on Next - electricity to Air Ambulance site)</t>
  </si>
  <si>
    <t>Big Park Equiptment/Repair Fund</t>
  </si>
  <si>
    <t>.</t>
  </si>
  <si>
    <t>Community Hall Rent</t>
  </si>
  <si>
    <t>Community Fund</t>
  </si>
  <si>
    <t>Tree Maintenance Fund</t>
  </si>
  <si>
    <t>General Reserves Fund</t>
  </si>
  <si>
    <t>Equipment and buildings Fund)</t>
  </si>
  <si>
    <t>Plus:</t>
  </si>
  <si>
    <t>Land Trust Forum</t>
  </si>
  <si>
    <t xml:space="preserve">Neighbourhood Plan /Community </t>
  </si>
  <si>
    <t>Budgeted for</t>
  </si>
  <si>
    <t xml:space="preserve">Actual spend to </t>
  </si>
  <si>
    <t>External Audit fee</t>
  </si>
  <si>
    <t>* see note below</t>
  </si>
  <si>
    <t>* see not below</t>
  </si>
  <si>
    <t>Grant towards Social Worker</t>
  </si>
  <si>
    <t>Payment to Teign Trees re removal of dead tree</t>
  </si>
  <si>
    <t>To Broad Oak Working Group</t>
  </si>
  <si>
    <t>in New Barn Lane</t>
  </si>
  <si>
    <t>Exonia Scaffolding = £450.00</t>
  </si>
  <si>
    <t>F Barclay - digger operator = £400.00</t>
  </si>
  <si>
    <t>Scott Stuthers - saw mill + operator = £2,572.50</t>
  </si>
  <si>
    <t>D Wright - stock sheets = £240.00</t>
  </si>
  <si>
    <t>L Adams - haulage services = £522.50</t>
  </si>
  <si>
    <r>
      <t xml:space="preserve">Total expenditure to date: £4,187,58 </t>
    </r>
    <r>
      <rPr>
        <b/>
        <sz val="11"/>
        <color rgb="FF00B050"/>
        <rFont val="Arial"/>
        <family val="2"/>
      </rPr>
      <t>leaving a balance of £812.42 available</t>
    </r>
  </si>
  <si>
    <t xml:space="preserve">J Squire - stake and base for Queen's Platinum Jub. Tree in </t>
  </si>
  <si>
    <t xml:space="preserve">Recreation Field = </t>
  </si>
  <si>
    <t>NOTE:</t>
  </si>
  <si>
    <t>Items shown with an asterick were included in the Clerk's Expenses</t>
  </si>
  <si>
    <t>(D  Wright - Saw blades = £24,58</t>
  </si>
  <si>
    <t>Grant to Silverton Football Club</t>
  </si>
  <si>
    <t>(Skatepark Annual Insp)</t>
  </si>
  <si>
    <t>Cost of the Ellerhayes Noticeboard was £332.00</t>
  </si>
  <si>
    <t xml:space="preserve">(Information Commissioner annual fee = £40.00 </t>
  </si>
  <si>
    <t>Annual cost of the website Domain Name = £28.78</t>
  </si>
  <si>
    <t>Monthly Microsoft payment = £12.36)</t>
  </si>
  <si>
    <t>Total spend to date;</t>
  </si>
  <si>
    <t>31.12.2024</t>
  </si>
  <si>
    <t>2025/26</t>
  </si>
  <si>
    <t>2024/2025</t>
  </si>
  <si>
    <t>Receipts received during financial year 2-24/2025</t>
  </si>
  <si>
    <t>Precept</t>
  </si>
  <si>
    <t>VAT return</t>
  </si>
  <si>
    <t>SWW - wayleave</t>
  </si>
  <si>
    <t>D Marsden - refund of payment re Harris Fencing</t>
  </si>
  <si>
    <t>Draft Updated Anticipated Expenditure to 30/11/24</t>
  </si>
  <si>
    <t>Bank balance as at 31 December 2024</t>
  </si>
  <si>
    <t>Nat West current account</t>
  </si>
  <si>
    <t>Less o/s cheques:</t>
  </si>
  <si>
    <t>January invoices</t>
  </si>
  <si>
    <t>Chq 002856- RBL - donation re wreath</t>
  </si>
  <si>
    <t>Anticipated expenditure to 31.3.2025</t>
  </si>
  <si>
    <t>Handyman</t>
  </si>
  <si>
    <t>St Mary's Church - contrib to Newsletter</t>
  </si>
  <si>
    <t>St Mary's Church - Churchyard grant</t>
  </si>
  <si>
    <t>Community Hall rent</t>
  </si>
  <si>
    <t>Soc Local Council Clerks annual sub</t>
  </si>
  <si>
    <t>Set up fee to Unity Trust Bank</t>
  </si>
  <si>
    <t>"Pedestrian" signs for Upexe Road</t>
  </si>
  <si>
    <t>Removal of leavings at Pond Site</t>
  </si>
  <si>
    <t>Unknown costs to 31.3.2025</t>
  </si>
  <si>
    <t>Poles for pedestrian signs in Upexe Road</t>
  </si>
  <si>
    <t>Repairs to ggate in Children's Play area</t>
  </si>
  <si>
    <t>Notice for Children's Play Area</t>
  </si>
  <si>
    <t>Poss expenses re Road Warden Scheme</t>
  </si>
  <si>
    <t>Skatepark resurfaconmg</t>
  </si>
  <si>
    <t>Notes</t>
  </si>
  <si>
    <t>CPI Inflation to Dec 24 is 4.1%</t>
  </si>
  <si>
    <t>Items shown with an asterisk were included in the Clerk's Expenses</t>
  </si>
  <si>
    <t>Payment to Teign Trees re removal of dead tree in New Barn Lane</t>
  </si>
  <si>
    <t>2024/25 Budget</t>
  </si>
  <si>
    <t>Spend to End Dec 24</t>
  </si>
  <si>
    <t>2024/25</t>
  </si>
  <si>
    <t>Fcast Jan-Mar 25</t>
  </si>
  <si>
    <t>Proposed Budget</t>
  </si>
  <si>
    <t>Spend</t>
  </si>
  <si>
    <t xml:space="preserve">Budget </t>
  </si>
  <si>
    <t>Unity Trust Bank Setup Fee, and ongoing fees</t>
  </si>
  <si>
    <t>What are the ongoing fees for next year?</t>
  </si>
  <si>
    <t>Have included against "Contractor" in forecast sheet.</t>
  </si>
  <si>
    <t>Where should this go in the Forecast Spend sheet?</t>
  </si>
  <si>
    <t>Plus Print cost of £258, added into Spend Sheet by Simon</t>
  </si>
  <si>
    <t>Monthly Microsoft payment @ £12.36)</t>
  </si>
  <si>
    <t>Funding Required for 2025/26</t>
  </si>
  <si>
    <t>Budget for 2025/26, including reserve funds</t>
  </si>
  <si>
    <t>Forecast Unspent Balance carried forward from 2024/25</t>
  </si>
  <si>
    <t>Outstanding Anticipated Expenditure to end Mar 25</t>
  </si>
  <si>
    <t>Fcast for all 24/25</t>
  </si>
  <si>
    <t>Moved to NP fund from 2025/26</t>
  </si>
  <si>
    <t>Take on more to fund Pond Site and Church Road, plus more leat stuff?</t>
  </si>
  <si>
    <t>Possibly increase the NP Implementation Fund and reduce other funds.</t>
  </si>
  <si>
    <t>24/25</t>
  </si>
  <si>
    <t>Devon Average</t>
  </si>
  <si>
    <t>Silverton</t>
  </si>
  <si>
    <t>That was a 13% increase on the previous year</t>
  </si>
  <si>
    <t>Silverton Total</t>
  </si>
  <si>
    <t>Thorverton</t>
  </si>
  <si>
    <t>Bickleigh</t>
  </si>
  <si>
    <t>Band D</t>
  </si>
  <si>
    <t xml:space="preserve">Bradninch </t>
  </si>
  <si>
    <t xml:space="preserve">Cullompton </t>
  </si>
  <si>
    <t>Tiverton</t>
  </si>
  <si>
    <t>Total</t>
  </si>
  <si>
    <t>Band D Est</t>
  </si>
  <si>
    <t>Band D Other Parishes 24/25</t>
  </si>
  <si>
    <t>Big Rec Equipment/Repair / Improvement Fund</t>
  </si>
  <si>
    <t>Change against Budget</t>
  </si>
  <si>
    <t>Change 24/25 vs 25/26</t>
  </si>
  <si>
    <t>What about Clerk's NI? All paid for current year</t>
  </si>
  <si>
    <t>Handyman - standard maintenance</t>
  </si>
  <si>
    <t>Handyman - ad hoc work</t>
  </si>
  <si>
    <t>Legal advice, Training, etc</t>
  </si>
  <si>
    <t>Devon Association of Local Councils Sub (new for 25/26)</t>
  </si>
  <si>
    <t>Not this year.  £582 for next year.</t>
  </si>
  <si>
    <t>Weed removal in Church Road by Handyman</t>
  </si>
  <si>
    <t>Traffic Issues</t>
  </si>
  <si>
    <t>After DCC contribution</t>
  </si>
  <si>
    <t>Clerk's Employers PAYE/NI</t>
  </si>
  <si>
    <t>Increase Employers' NI estimated at £500 (15%, from a lower threshold of £5,000)</t>
  </si>
  <si>
    <t>Handyman Routine Work</t>
  </si>
  <si>
    <t>Public Liability Insurance for Parish Council</t>
  </si>
  <si>
    <t>2024/25 - no queries raised so lower spend than usual in 24/25.</t>
  </si>
  <si>
    <t>Churchyard grant Grass Cutting</t>
  </si>
  <si>
    <t>In future, pay early in FY.</t>
  </si>
  <si>
    <t>Consider during 24/26</t>
  </si>
  <si>
    <t>Training for Councillors/Clerk (primarily DALC)</t>
  </si>
  <si>
    <t>Clock Annual Maintenance</t>
  </si>
  <si>
    <t>Overestimate for 24/25, but published £1k gross increase for 25/26.  Also budget included NI which is now split out. Assume 5% increase for 2025/26</t>
  </si>
  <si>
    <t>In case of a  contested election</t>
  </si>
  <si>
    <t xml:space="preserve">Parish Council Election contingency </t>
  </si>
  <si>
    <t>Silverleigh Newsletter contribution</t>
  </si>
  <si>
    <t>CLT Forum</t>
  </si>
  <si>
    <t>1 Set of Pads costs £70</t>
  </si>
  <si>
    <t>Email and website (for 2025/26 add in online share storage for Group)</t>
  </si>
  <si>
    <t>Skate Park resurfacing in 2025/26</t>
  </si>
  <si>
    <t>Mid Devon pricing expected to increase above inflation</t>
  </si>
  <si>
    <t>In future, pay earlier in FY.</t>
  </si>
  <si>
    <t>Increase to 2.5 hours per meeting to allow for setup and shutdown for meeting</t>
  </si>
  <si>
    <t>J Squire - stake and base for Queen's Platinum Jub. Tree in Rec field</t>
  </si>
  <si>
    <t>Comments</t>
  </si>
  <si>
    <t xml:space="preserve"> (D  Wright - Saw blades = £24,58</t>
  </si>
  <si>
    <t xml:space="preserve"> Exonia Scaffolding = £450.00</t>
  </si>
  <si>
    <t xml:space="preserve"> F Barclay - digger operator = £400.00</t>
  </si>
  <si>
    <t>Notes for Parish Clerk</t>
  </si>
  <si>
    <t>Receipts received during financial year 2024/2025</t>
  </si>
  <si>
    <t>Precept 2024/25</t>
  </si>
  <si>
    <t>Total Precept</t>
  </si>
  <si>
    <t>Proposed 2025/26 Precept Calculation</t>
  </si>
  <si>
    <t>Change %</t>
  </si>
  <si>
    <t>Precept Changes from 2024/25 to 2025/26</t>
  </si>
  <si>
    <t>F4.  Equipment and Buildings Fund</t>
  </si>
  <si>
    <t>F2. Community Fund</t>
  </si>
  <si>
    <t>F1. Routine Activities Fund</t>
  </si>
  <si>
    <t>Routine Activities Fund Total</t>
  </si>
  <si>
    <t>Spend Included with Clerk's Expenses for 2024/25</t>
  </si>
  <si>
    <t>(for 25/26 these will be recorded against relevant individual budgets)</t>
  </si>
  <si>
    <t>Includes CLT support, Green Group, Legal fees for obtaining land and getting agreements to use, potential future land purchase.</t>
  </si>
  <si>
    <t>Grand Totals for Funds F1-F6</t>
  </si>
  <si>
    <t>Section 1 - Funds</t>
  </si>
  <si>
    <t xml:space="preserve">Section 2 - Precept </t>
  </si>
  <si>
    <t>2024/25 Siliverton Parish Council Budget, Spend and Forecast; Also proposed 2025/26 Budget/Precept</t>
  </si>
  <si>
    <t>One off.  Spend included with Parish Clerk's expenses</t>
  </si>
  <si>
    <t>Remove LCPS for 2025/26, as we have no used it.  Spend in Parish Clerk's expenses</t>
  </si>
  <si>
    <t>Spend includes  email, items but next year will be limited only to the Parish Clerk's genuine expenses</t>
  </si>
  <si>
    <t>Spend included in Parish Clerk's expenses.</t>
  </si>
  <si>
    <t>Details charges to be clarified, as we start using the account.</t>
  </si>
  <si>
    <t>Clerk's Salary payrise backpay for 24/25</t>
  </si>
  <si>
    <t>Does not apply to 25/26</t>
  </si>
  <si>
    <t>Broad Oak Working Group Total</t>
  </si>
  <si>
    <t>F6.  Neighbourhood Plan Implementation Fund (new for 25/26)</t>
  </si>
  <si>
    <t>F3.  Tree Maintenance Fund (incl Lime Avenue Regeneration</t>
  </si>
  <si>
    <t>More Community Activity from 25/26, e.g. Volunteering stall at fair, IT to encourage volunteering, village website, online groups &amp; storage etc.</t>
  </si>
  <si>
    <t>£3250 for Youth Worker in 25/26</t>
  </si>
  <si>
    <t>F5.  General Reserves Fund and 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</si>
</sst>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_-* #,##0_-;\-* #,##0_-;_-* &quot;-&quot;??_-;_-@_-"/>
    <numFmt numFmtId="165" formatCode="#,##0.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color indexed="14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u/>
      <sz val="11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i/>
      <sz val="12"/>
      <color rgb="FFFF0000"/>
      <name val="Arial"/>
      <family val="2"/>
    </font>
    <font>
      <sz val="10"/>
      <color rgb="FFFF0000"/>
      <name val="Arial"/>
      <family val="2"/>
    </font>
    <font>
      <b/>
      <u/>
      <sz val="11"/>
      <name val="Arial"/>
      <family val="2"/>
    </font>
    <font>
      <sz val="11"/>
      <color rgb="FF0070C0"/>
      <name val="Arial"/>
      <family val="2"/>
    </font>
    <font>
      <sz val="11"/>
      <color rgb="FF00B050"/>
      <name val="Arial"/>
      <family val="2"/>
    </font>
    <font>
      <b/>
      <sz val="11"/>
      <color rgb="FF00B050"/>
      <name val="Arial"/>
      <family val="2"/>
    </font>
    <font>
      <sz val="12"/>
      <color rgb="FF00B050"/>
      <name val="Arial"/>
      <family val="2"/>
    </font>
    <font>
      <b/>
      <sz val="12"/>
      <color rgb="FF00B050"/>
      <name val="Arial"/>
      <family val="2"/>
    </font>
    <font>
      <u val="double"/>
      <sz val="11"/>
      <color rgb="FF0070C0"/>
      <name val="Arial"/>
      <family val="2"/>
    </font>
    <font>
      <u val="double"/>
      <sz val="12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b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</font>
    <font>
      <b/>
      <u/>
      <sz val="10"/>
      <name val="Arial"/>
      <family val="2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34" fillId="0" borderId="0" applyFont="0" applyFill="0" applyBorder="0" applyAlignment="0" applyProtection="0"/>
  </cellStyleXfs>
  <cellXfs count="188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4" fontId="0" fillId="0" borderId="0" xfId="0" applyNumberFormat="1"/>
    <xf numFmtId="0" fontId="15" fillId="0" borderId="0" xfId="0" applyFont="1"/>
    <xf numFmtId="0" fontId="16" fillId="0" borderId="0" xfId="0" applyFont="1"/>
    <xf numFmtId="0" fontId="11" fillId="0" borderId="0" xfId="0" applyFont="1"/>
    <xf numFmtId="8" fontId="0" fillId="0" borderId="0" xfId="0" applyNumberFormat="1"/>
    <xf numFmtId="0" fontId="12" fillId="0" borderId="0" xfId="0" applyFont="1"/>
    <xf numFmtId="0" fontId="6" fillId="0" borderId="0" xfId="0" applyFont="1"/>
    <xf numFmtId="0" fontId="13" fillId="0" borderId="0" xfId="0" applyFont="1"/>
    <xf numFmtId="0" fontId="14" fillId="0" borderId="0" xfId="0" applyFont="1"/>
    <xf numFmtId="0" fontId="4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3" fontId="4" fillId="0" borderId="0" xfId="0" applyNumberFormat="1" applyFont="1"/>
    <xf numFmtId="4" fontId="4" fillId="0" borderId="0" xfId="0" applyNumberFormat="1" applyFont="1"/>
    <xf numFmtId="0" fontId="0" fillId="0" borderId="2" xfId="0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0" fillId="0" borderId="1" xfId="0" applyBorder="1"/>
    <xf numFmtId="0" fontId="27" fillId="0" borderId="0" xfId="0" applyFont="1"/>
    <xf numFmtId="0" fontId="28" fillId="0" borderId="0" xfId="0" applyFont="1"/>
    <xf numFmtId="4" fontId="0" fillId="0" borderId="2" xfId="0" applyNumberFormat="1" applyBorder="1"/>
    <xf numFmtId="4" fontId="6" fillId="0" borderId="0" xfId="0" applyNumberFormat="1" applyFont="1"/>
    <xf numFmtId="0" fontId="3" fillId="0" borderId="0" xfId="1"/>
    <xf numFmtId="0" fontId="29" fillId="0" borderId="0" xfId="1" applyFont="1"/>
    <xf numFmtId="4" fontId="3" fillId="0" borderId="0" xfId="1" applyNumberFormat="1"/>
    <xf numFmtId="0" fontId="3" fillId="0" borderId="1" xfId="1" applyBorder="1"/>
    <xf numFmtId="4" fontId="3" fillId="0" borderId="1" xfId="1" applyNumberFormat="1" applyBorder="1"/>
    <xf numFmtId="0" fontId="30" fillId="0" borderId="0" xfId="1" applyFont="1"/>
    <xf numFmtId="3" fontId="3" fillId="0" borderId="0" xfId="1" applyNumberFormat="1"/>
    <xf numFmtId="3" fontId="31" fillId="0" borderId="0" xfId="1" applyNumberFormat="1" applyFont="1"/>
    <xf numFmtId="4" fontId="31" fillId="0" borderId="0" xfId="1" applyNumberFormat="1" applyFont="1"/>
    <xf numFmtId="4" fontId="29" fillId="0" borderId="0" xfId="1" applyNumberFormat="1" applyFont="1"/>
    <xf numFmtId="0" fontId="3" fillId="2" borderId="0" xfId="1" applyFill="1"/>
    <xf numFmtId="0" fontId="3" fillId="3" borderId="0" xfId="1" applyFill="1"/>
    <xf numFmtId="3" fontId="3" fillId="3" borderId="0" xfId="1" applyNumberFormat="1" applyFill="1"/>
    <xf numFmtId="0" fontId="6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3" fontId="6" fillId="0" borderId="0" xfId="0" applyNumberFormat="1" applyFont="1" applyAlignment="1">
      <alignment vertical="top" wrapText="1"/>
    </xf>
    <xf numFmtId="0" fontId="0" fillId="0" borderId="3" xfId="0" applyBorder="1"/>
    <xf numFmtId="0" fontId="2" fillId="0" borderId="0" xfId="1" applyFont="1"/>
    <xf numFmtId="0" fontId="4" fillId="0" borderId="3" xfId="0" applyFont="1" applyBorder="1"/>
    <xf numFmtId="0" fontId="1" fillId="3" borderId="0" xfId="1" applyFont="1" applyFill="1"/>
    <xf numFmtId="0" fontId="1" fillId="0" borderId="0" xfId="1" applyFont="1"/>
    <xf numFmtId="0" fontId="14" fillId="8" borderId="0" xfId="0" applyFont="1" applyFill="1" applyAlignment="1">
      <alignment vertical="top" wrapText="1"/>
    </xf>
    <xf numFmtId="0" fontId="15" fillId="8" borderId="0" xfId="0" applyFont="1" applyFill="1" applyAlignment="1">
      <alignment vertical="top" wrapText="1"/>
    </xf>
    <xf numFmtId="0" fontId="6" fillId="8" borderId="0" xfId="0" applyFont="1" applyFill="1" applyAlignment="1">
      <alignment vertical="top" wrapText="1"/>
    </xf>
    <xf numFmtId="3" fontId="6" fillId="8" borderId="0" xfId="0" applyNumberFormat="1" applyFont="1" applyFill="1" applyAlignment="1">
      <alignment vertical="top" wrapText="1"/>
    </xf>
    <xf numFmtId="0" fontId="0" fillId="8" borderId="0" xfId="0" applyFill="1" applyAlignment="1">
      <alignment vertical="top" wrapText="1"/>
    </xf>
    <xf numFmtId="0" fontId="6" fillId="9" borderId="0" xfId="0" applyFont="1" applyFill="1" applyAlignment="1">
      <alignment vertical="top" wrapText="1"/>
    </xf>
    <xf numFmtId="0" fontId="15" fillId="9" borderId="0" xfId="0" applyFont="1" applyFill="1" applyAlignment="1">
      <alignment vertical="top" wrapText="1"/>
    </xf>
    <xf numFmtId="0" fontId="0" fillId="9" borderId="0" xfId="0" applyFill="1" applyAlignment="1">
      <alignment vertical="top" wrapText="1"/>
    </xf>
    <xf numFmtId="3" fontId="6" fillId="9" borderId="0" xfId="0" applyNumberFormat="1" applyFont="1" applyFill="1" applyAlignment="1">
      <alignment vertical="top" wrapText="1"/>
    </xf>
    <xf numFmtId="0" fontId="36" fillId="9" borderId="0" xfId="0" applyFont="1" applyFill="1" applyAlignment="1">
      <alignment vertical="top" wrapText="1"/>
    </xf>
    <xf numFmtId="0" fontId="10" fillId="10" borderId="6" xfId="0" applyFont="1" applyFill="1" applyBorder="1" applyAlignment="1">
      <alignment horizontal="left" vertical="top" wrapText="1"/>
    </xf>
    <xf numFmtId="8" fontId="0" fillId="10" borderId="1" xfId="0" applyNumberFormat="1" applyFill="1" applyBorder="1" applyAlignment="1">
      <alignment vertical="top"/>
    </xf>
    <xf numFmtId="0" fontId="0" fillId="10" borderId="1" xfId="0" applyFill="1" applyBorder="1" applyAlignment="1">
      <alignment vertical="top"/>
    </xf>
    <xf numFmtId="0" fontId="4" fillId="0" borderId="0" xfId="0" applyFont="1" applyAlignment="1">
      <alignment vertical="top" wrapText="1"/>
    </xf>
    <xf numFmtId="0" fontId="0" fillId="8" borderId="12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0" fillId="7" borderId="5" xfId="0" applyFill="1" applyBorder="1" applyAlignment="1">
      <alignment vertical="top" wrapText="1"/>
    </xf>
    <xf numFmtId="0" fontId="0" fillId="7" borderId="9" xfId="0" applyFill="1" applyBorder="1" applyAlignment="1">
      <alignment vertical="top" wrapText="1"/>
    </xf>
    <xf numFmtId="0" fontId="0" fillId="7" borderId="7" xfId="0" applyFill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6" fillId="5" borderId="0" xfId="0" applyFont="1" applyFill="1" applyAlignment="1">
      <alignment horizontal="center" vertical="top"/>
    </xf>
    <xf numFmtId="3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0" fillId="8" borderId="0" xfId="0" applyFill="1" applyAlignment="1">
      <alignment vertical="top"/>
    </xf>
    <xf numFmtId="0" fontId="10" fillId="10" borderId="0" xfId="0" applyFont="1" applyFill="1" applyAlignment="1">
      <alignment vertical="top"/>
    </xf>
    <xf numFmtId="0" fontId="0" fillId="10" borderId="0" xfId="0" applyFill="1" applyAlignment="1">
      <alignment vertical="top"/>
    </xf>
    <xf numFmtId="3" fontId="4" fillId="10" borderId="0" xfId="0" applyNumberFormat="1" applyFont="1" applyFill="1" applyAlignment="1">
      <alignment vertical="top"/>
    </xf>
    <xf numFmtId="1" fontId="4" fillId="10" borderId="0" xfId="0" applyNumberFormat="1" applyFont="1" applyFill="1" applyAlignment="1">
      <alignment vertical="top"/>
    </xf>
    <xf numFmtId="0" fontId="4" fillId="10" borderId="0" xfId="0" applyFont="1" applyFill="1" applyAlignment="1">
      <alignment vertical="top"/>
    </xf>
    <xf numFmtId="3" fontId="0" fillId="10" borderId="0" xfId="0" applyNumberFormat="1" applyFill="1" applyAlignment="1">
      <alignment vertical="top"/>
    </xf>
    <xf numFmtId="0" fontId="11" fillId="10" borderId="0" xfId="0" applyFont="1" applyFill="1" applyAlignment="1">
      <alignment vertical="top"/>
    </xf>
    <xf numFmtId="3" fontId="27" fillId="10" borderId="0" xfId="0" applyNumberFormat="1" applyFont="1" applyFill="1" applyAlignment="1">
      <alignment vertical="top"/>
    </xf>
    <xf numFmtId="0" fontId="11" fillId="0" borderId="0" xfId="0" applyFont="1" applyAlignment="1">
      <alignment vertical="top"/>
    </xf>
    <xf numFmtId="0" fontId="10" fillId="0" borderId="0" xfId="0" applyFont="1" applyAlignment="1">
      <alignment vertical="top"/>
    </xf>
    <xf numFmtId="3" fontId="0" fillId="0" borderId="0" xfId="0" applyNumberFormat="1" applyAlignment="1">
      <alignment vertical="top"/>
    </xf>
    <xf numFmtId="0" fontId="14" fillId="0" borderId="0" xfId="0" applyFont="1" applyAlignment="1">
      <alignment vertical="top"/>
    </xf>
    <xf numFmtId="3" fontId="6" fillId="0" borderId="10" xfId="0" applyNumberFormat="1" applyFont="1" applyBorder="1" applyAlignment="1">
      <alignment vertical="top"/>
    </xf>
    <xf numFmtId="0" fontId="35" fillId="0" borderId="0" xfId="0" applyFont="1" applyAlignment="1">
      <alignment vertical="top"/>
    </xf>
    <xf numFmtId="4" fontId="6" fillId="0" borderId="2" xfId="0" applyNumberFormat="1" applyFont="1" applyBorder="1" applyAlignment="1">
      <alignment vertical="top"/>
    </xf>
    <xf numFmtId="4" fontId="6" fillId="0" borderId="10" xfId="0" applyNumberFormat="1" applyFont="1" applyBorder="1" applyAlignment="1">
      <alignment vertical="top"/>
    </xf>
    <xf numFmtId="0" fontId="14" fillId="11" borderId="4" xfId="0" applyFont="1" applyFill="1" applyBorder="1" applyAlignment="1">
      <alignment vertical="top"/>
    </xf>
    <xf numFmtId="0" fontId="4" fillId="11" borderId="2" xfId="0" applyFont="1" applyFill="1" applyBorder="1" applyAlignment="1">
      <alignment vertical="top"/>
    </xf>
    <xf numFmtId="0" fontId="0" fillId="11" borderId="2" xfId="0" applyFill="1" applyBorder="1" applyAlignment="1">
      <alignment vertical="top"/>
    </xf>
    <xf numFmtId="0" fontId="6" fillId="11" borderId="2" xfId="0" applyFont="1" applyFill="1" applyBorder="1" applyAlignment="1">
      <alignment vertical="top"/>
    </xf>
    <xf numFmtId="3" fontId="0" fillId="11" borderId="5" xfId="0" applyNumberFormat="1" applyFill="1" applyBorder="1" applyAlignment="1">
      <alignment vertical="top"/>
    </xf>
    <xf numFmtId="0" fontId="10" fillId="11" borderId="8" xfId="0" applyFont="1" applyFill="1" applyBorder="1" applyAlignment="1">
      <alignment vertical="top"/>
    </xf>
    <xf numFmtId="0" fontId="0" fillId="11" borderId="0" xfId="0" applyFill="1" applyAlignment="1">
      <alignment vertical="top"/>
    </xf>
    <xf numFmtId="0" fontId="6" fillId="11" borderId="0" xfId="0" applyFont="1" applyFill="1" applyAlignment="1">
      <alignment vertical="top"/>
    </xf>
    <xf numFmtId="3" fontId="0" fillId="11" borderId="9" xfId="0" applyNumberFormat="1" applyFill="1" applyBorder="1" applyAlignment="1">
      <alignment vertical="top"/>
    </xf>
    <xf numFmtId="6" fontId="0" fillId="11" borderId="0" xfId="0" applyNumberFormat="1" applyFill="1" applyAlignment="1">
      <alignment vertical="top"/>
    </xf>
    <xf numFmtId="0" fontId="10" fillId="11" borderId="6" xfId="0" applyFont="1" applyFill="1" applyBorder="1" applyAlignment="1">
      <alignment vertical="top"/>
    </xf>
    <xf numFmtId="6" fontId="0" fillId="11" borderId="1" xfId="0" applyNumberFormat="1" applyFill="1" applyBorder="1" applyAlignment="1">
      <alignment vertical="top"/>
    </xf>
    <xf numFmtId="0" fontId="0" fillId="11" borderId="1" xfId="0" applyFill="1" applyBorder="1" applyAlignment="1">
      <alignment vertical="top"/>
    </xf>
    <xf numFmtId="3" fontId="0" fillId="11" borderId="7" xfId="0" applyNumberFormat="1" applyFill="1" applyBorder="1" applyAlignment="1">
      <alignment vertical="top"/>
    </xf>
    <xf numFmtId="0" fontId="14" fillId="8" borderId="11" xfId="0" applyFont="1" applyFill="1" applyBorder="1" applyAlignment="1">
      <alignment vertical="top"/>
    </xf>
    <xf numFmtId="0" fontId="0" fillId="8" borderId="10" xfId="0" applyFill="1" applyBorder="1" applyAlignment="1">
      <alignment vertical="top"/>
    </xf>
    <xf numFmtId="3" fontId="0" fillId="8" borderId="10" xfId="0" applyNumberFormat="1" applyFill="1" applyBorder="1" applyAlignment="1">
      <alignment vertical="top"/>
    </xf>
    <xf numFmtId="0" fontId="14" fillId="10" borderId="4" xfId="0" applyFont="1" applyFill="1" applyBorder="1" applyAlignment="1">
      <alignment vertical="top"/>
    </xf>
    <xf numFmtId="0" fontId="4" fillId="10" borderId="2" xfId="0" applyFont="1" applyFill="1" applyBorder="1" applyAlignment="1">
      <alignment vertical="top"/>
    </xf>
    <xf numFmtId="4" fontId="4" fillId="10" borderId="2" xfId="0" applyNumberFormat="1" applyFont="1" applyFill="1" applyBorder="1" applyAlignment="1">
      <alignment vertical="top"/>
    </xf>
    <xf numFmtId="3" fontId="4" fillId="10" borderId="2" xfId="0" applyNumberFormat="1" applyFont="1" applyFill="1" applyBorder="1" applyAlignment="1">
      <alignment vertical="top"/>
    </xf>
    <xf numFmtId="0" fontId="0" fillId="10" borderId="5" xfId="0" applyFill="1" applyBorder="1" applyAlignment="1">
      <alignment vertical="top"/>
    </xf>
    <xf numFmtId="0" fontId="10" fillId="10" borderId="8" xfId="0" applyFont="1" applyFill="1" applyBorder="1" applyAlignment="1">
      <alignment horizontal="left" vertical="top" wrapText="1"/>
    </xf>
    <xf numFmtId="4" fontId="4" fillId="10" borderId="0" xfId="0" applyNumberFormat="1" applyFont="1" applyFill="1" applyAlignment="1">
      <alignment vertical="top"/>
    </xf>
    <xf numFmtId="0" fontId="4" fillId="10" borderId="9" xfId="0" applyFont="1" applyFill="1" applyBorder="1" applyAlignment="1">
      <alignment vertical="top"/>
    </xf>
    <xf numFmtId="0" fontId="10" fillId="10" borderId="6" xfId="0" applyFont="1" applyFill="1" applyBorder="1" applyAlignment="1">
      <alignment horizontal="left" vertical="top"/>
    </xf>
    <xf numFmtId="0" fontId="4" fillId="10" borderId="1" xfId="0" applyFont="1" applyFill="1" applyBorder="1" applyAlignment="1">
      <alignment vertical="top"/>
    </xf>
    <xf numFmtId="3" fontId="4" fillId="10" borderId="1" xfId="0" applyNumberFormat="1" applyFont="1" applyFill="1" applyBorder="1" applyAlignment="1">
      <alignment vertical="top"/>
    </xf>
    <xf numFmtId="4" fontId="4" fillId="10" borderId="1" xfId="0" applyNumberFormat="1" applyFont="1" applyFill="1" applyBorder="1" applyAlignment="1">
      <alignment vertical="top"/>
    </xf>
    <xf numFmtId="3" fontId="0" fillId="10" borderId="1" xfId="0" applyNumberFormat="1" applyFill="1" applyBorder="1" applyAlignment="1">
      <alignment vertical="top"/>
    </xf>
    <xf numFmtId="0" fontId="4" fillId="10" borderId="7" xfId="0" applyFont="1" applyFill="1" applyBorder="1" applyAlignment="1">
      <alignment vertical="top"/>
    </xf>
    <xf numFmtId="4" fontId="4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0" fontId="14" fillId="8" borderId="0" xfId="0" applyFont="1" applyFill="1" applyAlignment="1">
      <alignment vertical="top"/>
    </xf>
    <xf numFmtId="3" fontId="0" fillId="8" borderId="0" xfId="0" applyNumberFormat="1" applyFill="1" applyAlignment="1">
      <alignment vertical="top"/>
    </xf>
    <xf numFmtId="0" fontId="0" fillId="10" borderId="2" xfId="0" applyFill="1" applyBorder="1" applyAlignment="1">
      <alignment vertical="top"/>
    </xf>
    <xf numFmtId="3" fontId="0" fillId="10" borderId="2" xfId="0" applyNumberFormat="1" applyFill="1" applyBorder="1" applyAlignment="1">
      <alignment vertical="top"/>
    </xf>
    <xf numFmtId="0" fontId="0" fillId="10" borderId="7" xfId="0" applyFill="1" applyBorder="1" applyAlignment="1">
      <alignment vertical="top"/>
    </xf>
    <xf numFmtId="0" fontId="25" fillId="10" borderId="6" xfId="0" applyFont="1" applyFill="1" applyBorder="1" applyAlignment="1">
      <alignment vertical="top"/>
    </xf>
    <xf numFmtId="0" fontId="20" fillId="0" borderId="0" xfId="0" applyFont="1" applyAlignment="1">
      <alignment vertical="top"/>
    </xf>
    <xf numFmtId="0" fontId="14" fillId="10" borderId="8" xfId="0" applyFont="1" applyFill="1" applyBorder="1" applyAlignment="1">
      <alignment vertical="top"/>
    </xf>
    <xf numFmtId="4" fontId="0" fillId="10" borderId="0" xfId="0" applyNumberFormat="1" applyFill="1" applyAlignment="1">
      <alignment vertical="top"/>
    </xf>
    <xf numFmtId="0" fontId="0" fillId="10" borderId="9" xfId="0" applyFill="1" applyBorder="1" applyAlignment="1">
      <alignment vertical="top"/>
    </xf>
    <xf numFmtId="0" fontId="10" fillId="10" borderId="8" xfId="0" applyFont="1" applyFill="1" applyBorder="1" applyAlignment="1">
      <alignment horizontal="left" vertical="top"/>
    </xf>
    <xf numFmtId="0" fontId="6" fillId="10" borderId="0" xfId="0" applyFont="1" applyFill="1" applyAlignment="1">
      <alignment vertical="top"/>
    </xf>
    <xf numFmtId="0" fontId="14" fillId="10" borderId="8" xfId="0" applyFont="1" applyFill="1" applyBorder="1" applyAlignment="1">
      <alignment horizontal="left" vertical="top"/>
    </xf>
    <xf numFmtId="0" fontId="18" fillId="10" borderId="0" xfId="0" applyFont="1" applyFill="1" applyAlignment="1">
      <alignment vertical="top"/>
    </xf>
    <xf numFmtId="0" fontId="10" fillId="10" borderId="8" xfId="0" applyFont="1" applyFill="1" applyBorder="1" applyAlignment="1">
      <alignment vertical="top"/>
    </xf>
    <xf numFmtId="8" fontId="0" fillId="10" borderId="0" xfId="0" applyNumberFormat="1" applyFill="1" applyAlignment="1">
      <alignment vertical="top"/>
    </xf>
    <xf numFmtId="0" fontId="10" fillId="10" borderId="6" xfId="0" applyFont="1" applyFill="1" applyBorder="1" applyAlignment="1">
      <alignment vertical="top"/>
    </xf>
    <xf numFmtId="4" fontId="0" fillId="0" borderId="0" xfId="0" applyNumberFormat="1" applyAlignment="1">
      <alignment vertical="top"/>
    </xf>
    <xf numFmtId="8" fontId="0" fillId="0" borderId="0" xfId="0" applyNumberFormat="1" applyAlignment="1">
      <alignment vertical="top"/>
    </xf>
    <xf numFmtId="0" fontId="14" fillId="6" borderId="0" xfId="0" applyFont="1" applyFill="1" applyAlignment="1">
      <alignment vertical="top"/>
    </xf>
    <xf numFmtId="8" fontId="0" fillId="6" borderId="0" xfId="0" applyNumberFormat="1" applyFill="1" applyAlignment="1">
      <alignment vertical="top"/>
    </xf>
    <xf numFmtId="164" fontId="6" fillId="6" borderId="0" xfId="2" applyNumberFormat="1" applyFont="1" applyFill="1" applyAlignment="1">
      <alignment vertical="top"/>
    </xf>
    <xf numFmtId="43" fontId="6" fillId="6" borderId="0" xfId="2" applyFont="1" applyFill="1" applyAlignment="1">
      <alignment vertical="top"/>
    </xf>
    <xf numFmtId="0" fontId="10" fillId="7" borderId="4" xfId="0" applyFont="1" applyFill="1" applyBorder="1" applyAlignment="1">
      <alignment vertical="top"/>
    </xf>
    <xf numFmtId="8" fontId="0" fillId="7" borderId="2" xfId="0" applyNumberFormat="1" applyFill="1" applyBorder="1" applyAlignment="1">
      <alignment vertical="top"/>
    </xf>
    <xf numFmtId="0" fontId="0" fillId="7" borderId="2" xfId="0" applyFill="1" applyBorder="1" applyAlignment="1">
      <alignment vertical="top"/>
    </xf>
    <xf numFmtId="0" fontId="6" fillId="7" borderId="2" xfId="0" applyFont="1" applyFill="1" applyBorder="1" applyAlignment="1">
      <alignment horizontal="right" vertical="top"/>
    </xf>
    <xf numFmtId="3" fontId="0" fillId="7" borderId="2" xfId="0" applyNumberFormat="1" applyFill="1" applyBorder="1" applyAlignment="1">
      <alignment vertical="top"/>
    </xf>
    <xf numFmtId="0" fontId="14" fillId="7" borderId="8" xfId="0" applyFont="1" applyFill="1" applyBorder="1" applyAlignment="1">
      <alignment vertical="top"/>
    </xf>
    <xf numFmtId="8" fontId="0" fillId="7" borderId="0" xfId="0" applyNumberFormat="1" applyFill="1" applyAlignment="1">
      <alignment vertical="top"/>
    </xf>
    <xf numFmtId="0" fontId="0" fillId="7" borderId="0" xfId="0" applyFill="1" applyAlignment="1">
      <alignment vertical="top"/>
    </xf>
    <xf numFmtId="3" fontId="0" fillId="6" borderId="0" xfId="2" applyNumberFormat="1" applyFont="1" applyFill="1" applyBorder="1" applyAlignment="1">
      <alignment vertical="top"/>
    </xf>
    <xf numFmtId="0" fontId="0" fillId="6" borderId="0" xfId="0" applyFill="1" applyAlignment="1">
      <alignment vertical="top"/>
    </xf>
    <xf numFmtId="3" fontId="4" fillId="7" borderId="0" xfId="0" applyNumberFormat="1" applyFont="1" applyFill="1" applyAlignment="1">
      <alignment vertical="top"/>
    </xf>
    <xf numFmtId="0" fontId="10" fillId="7" borderId="8" xfId="0" applyFont="1" applyFill="1" applyBorder="1" applyAlignment="1">
      <alignment vertical="top"/>
    </xf>
    <xf numFmtId="3" fontId="0" fillId="7" borderId="0" xfId="0" applyNumberFormat="1" applyFill="1" applyAlignment="1">
      <alignment vertical="top"/>
    </xf>
    <xf numFmtId="2" fontId="0" fillId="7" borderId="0" xfId="0" applyNumberFormat="1" applyFill="1" applyAlignment="1">
      <alignment vertical="top"/>
    </xf>
    <xf numFmtId="3" fontId="6" fillId="7" borderId="0" xfId="0" applyNumberFormat="1" applyFont="1" applyFill="1" applyAlignment="1">
      <alignment vertical="top"/>
    </xf>
    <xf numFmtId="0" fontId="6" fillId="7" borderId="0" xfId="0" applyFont="1" applyFill="1" applyAlignment="1">
      <alignment vertical="top"/>
    </xf>
    <xf numFmtId="0" fontId="4" fillId="7" borderId="8" xfId="0" applyFont="1" applyFill="1" applyBorder="1" applyAlignment="1">
      <alignment vertical="top"/>
    </xf>
    <xf numFmtId="3" fontId="0" fillId="7" borderId="0" xfId="2" applyNumberFormat="1" applyFont="1" applyFill="1" applyBorder="1" applyAlignment="1">
      <alignment vertical="top"/>
    </xf>
    <xf numFmtId="2" fontId="0" fillId="6" borderId="0" xfId="0" applyNumberFormat="1" applyFill="1" applyAlignment="1">
      <alignment vertical="top"/>
    </xf>
    <xf numFmtId="165" fontId="0" fillId="6" borderId="0" xfId="0" applyNumberFormat="1" applyFill="1" applyAlignment="1">
      <alignment vertical="top"/>
    </xf>
    <xf numFmtId="0" fontId="4" fillId="0" borderId="8" xfId="0" applyFont="1" applyBorder="1" applyAlignment="1">
      <alignment vertical="top"/>
    </xf>
    <xf numFmtId="0" fontId="19" fillId="0" borderId="8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2" fontId="0" fillId="0" borderId="0" xfId="0" applyNumberFormat="1" applyAlignment="1">
      <alignment vertical="top"/>
    </xf>
    <xf numFmtId="2" fontId="4" fillId="0" borderId="0" xfId="0" applyNumberFormat="1" applyFont="1" applyAlignment="1">
      <alignment vertical="top"/>
    </xf>
    <xf numFmtId="0" fontId="12" fillId="0" borderId="8" xfId="0" applyFont="1" applyBorder="1" applyAlignment="1">
      <alignment vertical="top"/>
    </xf>
    <xf numFmtId="0" fontId="0" fillId="7" borderId="6" xfId="0" applyFill="1" applyBorder="1" applyAlignment="1">
      <alignment vertical="top"/>
    </xf>
    <xf numFmtId="0" fontId="0" fillId="7" borderId="1" xfId="0" applyFill="1" applyBorder="1" applyAlignment="1">
      <alignment vertical="top"/>
    </xf>
    <xf numFmtId="3" fontId="0" fillId="7" borderId="1" xfId="0" applyNumberFormat="1" applyFill="1" applyBorder="1" applyAlignment="1">
      <alignment vertical="top"/>
    </xf>
    <xf numFmtId="0" fontId="9" fillId="0" borderId="0" xfId="0" applyFont="1" applyAlignment="1">
      <alignment vertical="top"/>
    </xf>
    <xf numFmtId="3" fontId="9" fillId="0" borderId="0" xfId="0" applyNumberFormat="1" applyFont="1" applyAlignment="1">
      <alignment vertical="top"/>
    </xf>
    <xf numFmtId="3" fontId="0" fillId="6" borderId="0" xfId="0" applyNumberFormat="1" applyFill="1" applyAlignment="1">
      <alignment vertical="top"/>
    </xf>
    <xf numFmtId="0" fontId="6" fillId="4" borderId="0" xfId="0" applyFont="1" applyFill="1" applyAlignment="1">
      <alignment horizontal="center" vertical="top"/>
    </xf>
  </cellXfs>
  <cellStyles count="3">
    <cellStyle name="Comma" xfId="2" builtinId="3"/>
    <cellStyle name="Normal" xfId="0" builtinId="0"/>
    <cellStyle name="Normal 2" xfId="1" xr:uid="{C4930F1B-541D-4BC4-8800-99EBEC5C594D}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532765</xdr:colOff>
      <xdr:row>70</xdr:row>
      <xdr:rowOff>0</xdr:rowOff>
    </xdr:from>
    <xdr:ext cx="65" cy="1854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2BC404A-57C6-4EAE-A00E-0C54FD89A793}"/>
            </a:ext>
          </a:extLst>
        </xdr:cNvPr>
        <xdr:cNvSpPr txBox="1"/>
      </xdr:nvSpPr>
      <xdr:spPr>
        <a:xfrm>
          <a:off x="3603625" y="11247120"/>
          <a:ext cx="65" cy="185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532765</xdr:colOff>
      <xdr:row>59</xdr:row>
      <xdr:rowOff>0</xdr:rowOff>
    </xdr:from>
    <xdr:ext cx="65" cy="1854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6214B78-58BF-CBE7-67D1-21519A42AD69}"/>
            </a:ext>
          </a:extLst>
        </xdr:cNvPr>
        <xdr:cNvSpPr txBox="1"/>
      </xdr:nvSpPr>
      <xdr:spPr>
        <a:xfrm>
          <a:off x="5819775" y="8577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imon Hedges" id="{4A2A4441-067B-4294-B1DF-CC355F66F201}" userId="6fbc11b3ca497c32" providerId="Windows Live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8" dT="2025-01-09T14:54:57.40" personId="{4A2A4441-067B-4294-B1DF-CC355F66F201}" id="{D37B52FA-2650-469F-8AA9-A987E70C6F0A}">
    <text>3 month of budget, plus printer cost</text>
  </threadedComment>
  <threadedComment ref="I8" dT="2025-01-09T14:55:27.62" personId="{4A2A4441-067B-4294-B1DF-CC355F66F201}" id="{BF81A05E-03B2-4B36-8FB9-2FB942A1B1B8}">
    <text>Excludes asterisked items which are included elsewhere.  So keep as per 2024/25 budget plus inflation.</text>
  </threadedComment>
  <threadedComment ref="I10" dT="2025-01-09T16:28:12.55" personId="{4A2A4441-067B-4294-B1DF-CC355F66F201}" id="{984ACAD3-42DF-4F56-920A-96EB857517F0}">
    <text>Don’t yet know the specific charges for our account.</text>
  </threadedComment>
  <threadedComment ref="A11" dT="2025-01-09T20:05:04.73" personId="{4A2A4441-067B-4294-B1DF-CC355F66F201}" id="{6C3185FD-C9DD-4753-A646-098EF79482CB}">
    <text>SLCC - £120, ICO £40</text>
  </threadedComment>
  <threadedComment ref="F18" dT="2025-01-09T14:56:53.46" personId="{4A2A4441-067B-4294-B1DF-CC355F66F201}" id="{C736C098-EBC2-4295-86BF-276118B6FA83}">
    <text>3 months at spend rate to end dec + 400 for Church Road Clearance</text>
  </threadedComment>
  <threadedComment ref="A30" dT="2025-01-09T16:20:40.03" personId="{4A2A4441-067B-4294-B1DF-CC355F66F201}" id="{0F1A6C2D-9D5A-4229-8C9A-37736D42E107}">
    <text>This was named CLT Forum.  Is there a reason that this is in this section of the budget, rather than the “Funds” section below?</text>
  </threadedComment>
  <threadedComment ref="I31" dT="2025-01-09T15:32:56.50" personId="{4A2A4441-067B-4294-B1DF-CC355F66F201}" id="{4EC01B61-364A-482A-AEED-D0C0B13BA421}">
    <text>Reduce to £500 as no spend in 2024/25</text>
  </threadedComment>
  <threadedComment ref="F32" dT="2025-01-09T20:43:34.30" personId="{4A2A4441-067B-4294-B1DF-CC355F66F201}" id="{37E6A3A7-CF8A-4876-8B22-22D2C12347E7}">
    <text>Play Area ROSPA Repairs</text>
  </threadedComment>
  <threadedComment ref="A49" dT="2025-01-09T23:50:34.64" personId="{4A2A4441-067B-4294-B1DF-CC355F66F201}" id="{C4C60BF3-F8E2-48BD-80F5-77000CEB5567}">
    <text>Community activities and cohesion, including the growth of social activities in the parish, encouraging volunteering.</text>
  </threadedComment>
  <threadedComment ref="I49" dT="2025-01-09T16:14:56.63" personId="{4A2A4441-067B-4294-B1DF-CC355F66F201}" id="{39C16795-FC6D-4459-AC35-E46A13B51D3A}">
    <text>Increase, as we are spending a good proportion of this budget on the Social worker, and we may need to spend more in 2025/26 to encourage more community activity and volunteering in the parish.</text>
  </threadedComment>
  <threadedComment ref="A54" dT="2025-01-09T23:49:11.09" personId="{4A2A4441-067B-4294-B1DF-CC355F66F201}" id="{B44B69D8-F3FC-4737-9951-A876DAD553C0}">
    <text>Lime Avenue Regeneration, other Tree Planting  and Maintenance</text>
  </threadedComment>
  <threadedComment ref="A58" dT="2025-01-09T16:01:52.52" personId="{4A2A4441-067B-4294-B1DF-CC355F66F201}" id="{2276A2DE-477A-4774-AAD8-F9D4927FE931}">
    <text>Fire Station, Bus Shelters, Gazebo, Tennis Hut, War Memorial, Additional Traffic Signs and Lighting, Flagpole (via RBL), Equipment other than on Big Rec.  To be reviewed in 25/26 - consider splitting into other funds.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161F3-D1EC-4A5D-885A-B2E959AF56DF}">
  <sheetPr>
    <tabColor theme="7"/>
  </sheetPr>
  <dimension ref="A1:M113"/>
  <sheetViews>
    <sheetView showGridLines="0" tabSelected="1" zoomScaleNormal="100" workbookViewId="0">
      <pane xSplit="1" ySplit="2" topLeftCell="B67" activePane="bottomRight" state="frozenSplit"/>
      <selection pane="topRight" activeCell="B1" sqref="B1"/>
      <selection pane="bottomLeft" activeCell="A4" sqref="A4"/>
      <selection pane="bottomRight" activeCell="A72" sqref="A72"/>
    </sheetView>
  </sheetViews>
  <sheetFormatPr defaultColWidth="8.77734375" defaultRowHeight="13.2" outlineLevelCol="1" x14ac:dyDescent="0.25"/>
  <cols>
    <col min="1" max="1" width="63.33203125" style="77" customWidth="1"/>
    <col min="2" max="2" width="8.77734375" style="77" customWidth="1"/>
    <col min="3" max="3" width="9.109375" style="77" customWidth="1"/>
    <col min="4" max="4" width="2.44140625" style="77" customWidth="1"/>
    <col min="5" max="5" width="10.44140625" style="77" customWidth="1" outlineLevel="1"/>
    <col min="6" max="6" width="8.33203125" style="77" customWidth="1" outlineLevel="1"/>
    <col min="7" max="7" width="9" style="77" customWidth="1"/>
    <col min="8" max="8" width="2.88671875" style="77" customWidth="1"/>
    <col min="9" max="9" width="10.44140625" style="77" bestFit="1" customWidth="1"/>
    <col min="10" max="10" width="2.44140625" style="77" customWidth="1"/>
    <col min="11" max="11" width="8.5546875" style="93" customWidth="1"/>
    <col min="12" max="12" width="10.44140625" style="77" bestFit="1" customWidth="1"/>
    <col min="13" max="13" width="89.6640625" style="49" customWidth="1"/>
    <col min="14" max="16384" width="8.77734375" style="77"/>
  </cols>
  <sheetData>
    <row r="1" spans="1:13" x14ac:dyDescent="0.25">
      <c r="A1" s="76"/>
      <c r="C1" s="187" t="s">
        <v>96</v>
      </c>
      <c r="D1" s="187"/>
      <c r="E1" s="187"/>
      <c r="F1" s="187"/>
      <c r="G1" s="187"/>
      <c r="H1" s="78"/>
      <c r="I1" s="79" t="s">
        <v>62</v>
      </c>
      <c r="K1" s="80" t="s">
        <v>99</v>
      </c>
      <c r="L1" s="81" t="s">
        <v>100</v>
      </c>
      <c r="M1" s="47" t="s">
        <v>163</v>
      </c>
    </row>
    <row r="2" spans="1:13" s="49" customFormat="1" ht="39.6" x14ac:dyDescent="0.25">
      <c r="A2" s="47" t="s">
        <v>184</v>
      </c>
      <c r="B2" s="48"/>
      <c r="C2" s="47" t="s">
        <v>94</v>
      </c>
      <c r="D2" s="47"/>
      <c r="E2" s="47" t="s">
        <v>95</v>
      </c>
      <c r="F2" s="47" t="s">
        <v>97</v>
      </c>
      <c r="G2" s="47" t="s">
        <v>111</v>
      </c>
      <c r="H2" s="47"/>
      <c r="I2" s="47" t="s">
        <v>98</v>
      </c>
      <c r="K2" s="50" t="s">
        <v>130</v>
      </c>
      <c r="L2" s="47" t="s">
        <v>131</v>
      </c>
      <c r="M2" s="49">
        <f>+M16*0.15</f>
        <v>913.8</v>
      </c>
    </row>
    <row r="3" spans="1:13" s="49" customFormat="1" ht="15.6" x14ac:dyDescent="0.25">
      <c r="A3" s="65" t="s">
        <v>182</v>
      </c>
      <c r="B3" s="62"/>
      <c r="C3" s="61"/>
      <c r="D3" s="61"/>
      <c r="E3" s="61"/>
      <c r="F3" s="61"/>
      <c r="G3" s="61"/>
      <c r="H3" s="61"/>
      <c r="I3" s="61"/>
      <c r="J3" s="63"/>
      <c r="K3" s="64"/>
      <c r="L3" s="61"/>
      <c r="M3" s="63"/>
    </row>
    <row r="4" spans="1:13" s="49" customFormat="1" ht="13.8" x14ac:dyDescent="0.25">
      <c r="A4" s="56" t="s">
        <v>176</v>
      </c>
      <c r="B4" s="57"/>
      <c r="C4" s="58"/>
      <c r="D4" s="58"/>
      <c r="E4" s="58"/>
      <c r="F4" s="58"/>
      <c r="G4" s="58"/>
      <c r="H4" s="58"/>
      <c r="I4" s="58"/>
      <c r="J4" s="82"/>
      <c r="K4" s="59"/>
      <c r="L4" s="60"/>
      <c r="M4" s="60"/>
    </row>
    <row r="5" spans="1:13" ht="24.6" customHeight="1" x14ac:dyDescent="0.25">
      <c r="A5" s="83" t="s">
        <v>14</v>
      </c>
      <c r="B5" s="84"/>
      <c r="C5" s="84">
        <v>15000</v>
      </c>
      <c r="D5" s="84"/>
      <c r="E5" s="85">
        <v>7283.44</v>
      </c>
      <c r="F5" s="86">
        <f>+'Anticipated spend to End Year'!E13</f>
        <v>1389</v>
      </c>
      <c r="G5" s="85">
        <f>+ROUND(F5+E5,0)</f>
        <v>8672</v>
      </c>
      <c r="H5" s="87"/>
      <c r="I5" s="88">
        <f>10564*1.05</f>
        <v>11092.2</v>
      </c>
      <c r="J5" s="87"/>
      <c r="K5" s="85">
        <f>+G5-C5</f>
        <v>-6328</v>
      </c>
      <c r="L5" s="84">
        <f>+I5-C5</f>
        <v>-3907.7999999999993</v>
      </c>
      <c r="M5" s="69" t="s">
        <v>151</v>
      </c>
    </row>
    <row r="6" spans="1:13" ht="13.8" x14ac:dyDescent="0.25">
      <c r="A6" s="83" t="s">
        <v>190</v>
      </c>
      <c r="B6" s="84"/>
      <c r="C6" s="84">
        <v>0</v>
      </c>
      <c r="D6" s="84"/>
      <c r="E6" s="85">
        <v>0</v>
      </c>
      <c r="F6" s="86">
        <v>240</v>
      </c>
      <c r="G6" s="85">
        <f>(16.93*12*52)-G5</f>
        <v>1892.3199999999997</v>
      </c>
      <c r="H6" s="87"/>
      <c r="I6" s="88">
        <v>0</v>
      </c>
      <c r="J6" s="87"/>
      <c r="K6" s="85">
        <f>16.93*12*52</f>
        <v>10564.32</v>
      </c>
      <c r="L6" s="84">
        <f>+I6-C6</f>
        <v>0</v>
      </c>
      <c r="M6" s="69" t="s">
        <v>191</v>
      </c>
    </row>
    <row r="7" spans="1:13" ht="13.8" x14ac:dyDescent="0.25">
      <c r="A7" s="83" t="s">
        <v>141</v>
      </c>
      <c r="B7" s="84"/>
      <c r="C7" s="84">
        <v>0</v>
      </c>
      <c r="D7" s="84"/>
      <c r="E7" s="85">
        <v>2122.14</v>
      </c>
      <c r="F7" s="86">
        <v>0</v>
      </c>
      <c r="G7" s="85">
        <v>2250</v>
      </c>
      <c r="H7" s="87"/>
      <c r="I7" s="88">
        <v>3500</v>
      </c>
      <c r="J7" s="87"/>
      <c r="K7" s="85">
        <f t="shared" ref="K7:K36" si="0">+G7-C7</f>
        <v>2250</v>
      </c>
      <c r="L7" s="84">
        <f t="shared" ref="L7:L36" si="1">+I7-C7</f>
        <v>3500</v>
      </c>
      <c r="M7" s="49" t="s">
        <v>142</v>
      </c>
    </row>
    <row r="8" spans="1:13" ht="13.8" x14ac:dyDescent="0.25">
      <c r="A8" s="83" t="s">
        <v>1</v>
      </c>
      <c r="B8" s="84"/>
      <c r="C8" s="84">
        <v>500</v>
      </c>
      <c r="D8" s="84"/>
      <c r="E8" s="85">
        <v>672.06</v>
      </c>
      <c r="F8" s="86">
        <f>75+258.72+160</f>
        <v>493.72</v>
      </c>
      <c r="G8" s="85">
        <f>+F8+E8</f>
        <v>1165.78</v>
      </c>
      <c r="H8" s="87"/>
      <c r="I8" s="88">
        <v>504</v>
      </c>
      <c r="J8" s="87"/>
      <c r="K8" s="85">
        <f t="shared" si="0"/>
        <v>665.78</v>
      </c>
      <c r="L8" s="84">
        <f t="shared" si="1"/>
        <v>4</v>
      </c>
      <c r="M8" s="69" t="s">
        <v>187</v>
      </c>
    </row>
    <row r="9" spans="1:13" s="91" customFormat="1" ht="13.8" x14ac:dyDescent="0.25">
      <c r="A9" s="83" t="s">
        <v>157</v>
      </c>
      <c r="B9" s="89"/>
      <c r="C9" s="87">
        <v>200</v>
      </c>
      <c r="D9" s="87"/>
      <c r="E9" s="85" t="s">
        <v>37</v>
      </c>
      <c r="F9" s="89">
        <v>0</v>
      </c>
      <c r="G9" s="90"/>
      <c r="H9" s="89"/>
      <c r="I9" s="89">
        <v>400</v>
      </c>
      <c r="J9" s="89"/>
      <c r="K9" s="88">
        <f>+G9-C9</f>
        <v>-200</v>
      </c>
      <c r="L9" s="84">
        <f>+I9-C9</f>
        <v>200</v>
      </c>
      <c r="M9" s="69" t="s">
        <v>188</v>
      </c>
    </row>
    <row r="10" spans="1:13" ht="13.8" x14ac:dyDescent="0.25">
      <c r="A10" s="83" t="s">
        <v>101</v>
      </c>
      <c r="B10" s="84"/>
      <c r="C10" s="87">
        <v>0</v>
      </c>
      <c r="D10" s="87"/>
      <c r="E10" s="88">
        <v>0</v>
      </c>
      <c r="F10" s="88">
        <f>+'Anticipated spend to End Year'!E23+100</f>
        <v>600</v>
      </c>
      <c r="G10" s="88">
        <f>+F10+E10</f>
        <v>600</v>
      </c>
      <c r="H10" s="84"/>
      <c r="I10" s="84">
        <v>200</v>
      </c>
      <c r="J10" s="84"/>
      <c r="K10" s="88">
        <f>+G10-C10</f>
        <v>600</v>
      </c>
      <c r="L10" s="84">
        <f t="shared" ref="L10" si="2">+I10-C10</f>
        <v>200</v>
      </c>
      <c r="M10" s="69" t="s">
        <v>189</v>
      </c>
    </row>
    <row r="11" spans="1:13" ht="13.8" x14ac:dyDescent="0.25">
      <c r="A11" s="83" t="s">
        <v>18</v>
      </c>
      <c r="B11" s="84"/>
      <c r="C11" s="84">
        <v>200</v>
      </c>
      <c r="D11" s="84"/>
      <c r="E11" s="88" t="s">
        <v>37</v>
      </c>
      <c r="F11" s="86">
        <v>0</v>
      </c>
      <c r="G11" s="88">
        <v>160</v>
      </c>
      <c r="H11" s="84"/>
      <c r="I11" s="88">
        <v>160</v>
      </c>
      <c r="J11" s="84"/>
      <c r="K11" s="88">
        <f t="shared" si="0"/>
        <v>-40</v>
      </c>
      <c r="L11" s="88">
        <f>+I11-C11</f>
        <v>-40</v>
      </c>
      <c r="M11" s="69" t="s">
        <v>186</v>
      </c>
    </row>
    <row r="12" spans="1:13" ht="13.8" x14ac:dyDescent="0.25">
      <c r="A12" s="83" t="s">
        <v>136</v>
      </c>
      <c r="B12" s="84"/>
      <c r="C12" s="84">
        <v>0</v>
      </c>
      <c r="D12" s="84"/>
      <c r="E12" s="88">
        <v>0</v>
      </c>
      <c r="F12" s="84">
        <v>0</v>
      </c>
      <c r="G12" s="88">
        <f>+F12+E12</f>
        <v>0</v>
      </c>
      <c r="H12" s="84"/>
      <c r="I12" s="88">
        <v>582</v>
      </c>
      <c r="J12" s="84"/>
      <c r="K12" s="88">
        <f>+G12-C12</f>
        <v>0</v>
      </c>
      <c r="L12" s="88">
        <f>+I12-C12</f>
        <v>582</v>
      </c>
      <c r="M12" s="49" t="s">
        <v>135</v>
      </c>
    </row>
    <row r="13" spans="1:13" ht="13.8" x14ac:dyDescent="0.25">
      <c r="A13" s="83" t="s">
        <v>149</v>
      </c>
      <c r="B13" s="84"/>
      <c r="C13" s="84">
        <v>0</v>
      </c>
      <c r="D13" s="84"/>
      <c r="E13" s="88">
        <v>0</v>
      </c>
      <c r="F13" s="84">
        <v>0</v>
      </c>
      <c r="G13" s="88">
        <f>+F13+E13</f>
        <v>0</v>
      </c>
      <c r="H13" s="84"/>
      <c r="I13" s="88">
        <f>+ROUND(G13*104.1%,0)</f>
        <v>0</v>
      </c>
      <c r="J13" s="84"/>
      <c r="K13" s="88">
        <f>+G13-C13</f>
        <v>0</v>
      </c>
      <c r="L13" s="88">
        <f>+I13-C13</f>
        <v>0</v>
      </c>
      <c r="M13" s="69" t="s">
        <v>148</v>
      </c>
    </row>
    <row r="14" spans="1:13" ht="13.8" x14ac:dyDescent="0.25">
      <c r="A14" s="83" t="s">
        <v>144</v>
      </c>
      <c r="B14" s="84"/>
      <c r="C14" s="84">
        <v>920.08</v>
      </c>
      <c r="D14" s="84"/>
      <c r="E14" s="88">
        <v>958.16</v>
      </c>
      <c r="F14" s="84">
        <v>0</v>
      </c>
      <c r="G14" s="88">
        <f>+F14+E14</f>
        <v>958.16</v>
      </c>
      <c r="H14" s="84"/>
      <c r="I14" s="88">
        <f>+ROUND(G14*104.1%,0)</f>
        <v>997</v>
      </c>
      <c r="J14" s="84"/>
      <c r="K14" s="88">
        <f>+G14-C14</f>
        <v>38.079999999999927</v>
      </c>
      <c r="L14" s="88">
        <f>+I14-C14</f>
        <v>76.919999999999959</v>
      </c>
      <c r="M14" s="49">
        <v>11092</v>
      </c>
    </row>
    <row r="15" spans="1:13" ht="13.8" x14ac:dyDescent="0.25">
      <c r="A15" s="83" t="s">
        <v>12</v>
      </c>
      <c r="B15" s="84"/>
      <c r="C15" s="84">
        <v>240</v>
      </c>
      <c r="D15" s="84"/>
      <c r="E15" s="88">
        <v>240</v>
      </c>
      <c r="F15" s="84">
        <v>0</v>
      </c>
      <c r="G15" s="88">
        <f>+ROUND(C15*104.1%,0)</f>
        <v>250</v>
      </c>
      <c r="H15" s="88"/>
      <c r="I15" s="88">
        <f>+ROUND(G15*104.1%,0)</f>
        <v>260</v>
      </c>
      <c r="J15" s="88"/>
      <c r="K15" s="88">
        <f t="shared" si="0"/>
        <v>10</v>
      </c>
      <c r="L15" s="88">
        <f t="shared" si="1"/>
        <v>20</v>
      </c>
      <c r="M15" s="49">
        <v>5000</v>
      </c>
    </row>
    <row r="16" spans="1:13" ht="13.8" x14ac:dyDescent="0.25">
      <c r="A16" s="83" t="s">
        <v>8</v>
      </c>
      <c r="B16" s="84"/>
      <c r="C16" s="84">
        <v>75</v>
      </c>
      <c r="D16" s="84"/>
      <c r="E16" s="88">
        <v>119</v>
      </c>
      <c r="F16" s="84">
        <v>0</v>
      </c>
      <c r="G16" s="88">
        <f>+F16+E16</f>
        <v>119</v>
      </c>
      <c r="H16" s="88"/>
      <c r="I16" s="88">
        <f>+ROUND(G16*104.1%,0)</f>
        <v>124</v>
      </c>
      <c r="J16" s="88"/>
      <c r="K16" s="88">
        <f>+G16-C16</f>
        <v>44</v>
      </c>
      <c r="L16" s="88">
        <f>+I16-C16</f>
        <v>49</v>
      </c>
      <c r="M16" s="49">
        <f>+M14-M15</f>
        <v>6092</v>
      </c>
    </row>
    <row r="17" spans="1:13" ht="13.8" x14ac:dyDescent="0.25">
      <c r="A17" s="83" t="s">
        <v>36</v>
      </c>
      <c r="B17" s="84"/>
      <c r="C17" s="84">
        <v>450</v>
      </c>
      <c r="D17" s="84"/>
      <c r="E17" s="88">
        <v>252.99</v>
      </c>
      <c r="F17" s="84">
        <v>0</v>
      </c>
      <c r="G17" s="88">
        <f>+F17+E17</f>
        <v>252.99</v>
      </c>
      <c r="H17" s="88"/>
      <c r="I17" s="88">
        <v>450</v>
      </c>
      <c r="J17" s="88"/>
      <c r="K17" s="88">
        <f>+G17-C17</f>
        <v>-197.01</v>
      </c>
      <c r="L17" s="88">
        <f>+I17-C17</f>
        <v>0</v>
      </c>
      <c r="M17" s="69" t="s">
        <v>145</v>
      </c>
    </row>
    <row r="18" spans="1:13" ht="13.8" x14ac:dyDescent="0.25">
      <c r="A18" s="83" t="s">
        <v>133</v>
      </c>
      <c r="B18" s="84"/>
      <c r="C18" s="84">
        <v>7500</v>
      </c>
      <c r="D18" s="84"/>
      <c r="E18" s="88">
        <v>6250</v>
      </c>
      <c r="F18" s="84">
        <f>+'Anticipated spend to End Year'!E15</f>
        <v>1250</v>
      </c>
      <c r="G18" s="88">
        <f>+F18+E18</f>
        <v>7500</v>
      </c>
      <c r="H18" s="88"/>
      <c r="I18" s="88">
        <f>+ROUND(G18*104.1%,0)</f>
        <v>7808</v>
      </c>
      <c r="J18" s="88"/>
      <c r="K18" s="88">
        <f t="shared" si="0"/>
        <v>0</v>
      </c>
      <c r="L18" s="88">
        <f t="shared" si="1"/>
        <v>308</v>
      </c>
      <c r="M18" s="49" t="s">
        <v>113</v>
      </c>
    </row>
    <row r="19" spans="1:13" ht="13.8" x14ac:dyDescent="0.25">
      <c r="A19" s="83" t="s">
        <v>134</v>
      </c>
      <c r="B19" s="84"/>
      <c r="C19" s="84">
        <v>500</v>
      </c>
      <c r="D19" s="84"/>
      <c r="E19" s="88">
        <v>30</v>
      </c>
      <c r="F19" s="84">
        <f>+'Anticipated spend to End Year'!E17</f>
        <v>400</v>
      </c>
      <c r="G19" s="88">
        <v>500</v>
      </c>
      <c r="H19" s="88"/>
      <c r="I19" s="88">
        <f>+ROUND(G19*104.1%,0)</f>
        <v>521</v>
      </c>
      <c r="J19" s="88"/>
      <c r="K19" s="88">
        <f t="shared" si="0"/>
        <v>0</v>
      </c>
      <c r="L19" s="88">
        <f t="shared" si="1"/>
        <v>21</v>
      </c>
    </row>
    <row r="20" spans="1:13" ht="13.8" x14ac:dyDescent="0.25">
      <c r="A20" s="83" t="s">
        <v>22</v>
      </c>
      <c r="B20" s="84"/>
      <c r="C20" s="84">
        <v>8500</v>
      </c>
      <c r="D20" s="84"/>
      <c r="E20" s="88">
        <v>5410.26</v>
      </c>
      <c r="F20" s="88">
        <f>+E20/9*3</f>
        <v>1803.42</v>
      </c>
      <c r="G20" s="88">
        <f t="shared" ref="G20:G36" si="3">+F20+E20</f>
        <v>7213.68</v>
      </c>
      <c r="H20" s="88"/>
      <c r="I20" s="186">
        <v>7250</v>
      </c>
      <c r="J20" s="88"/>
      <c r="K20" s="88">
        <f t="shared" si="0"/>
        <v>-1286.3199999999997</v>
      </c>
      <c r="L20" s="88">
        <f t="shared" si="1"/>
        <v>-1250</v>
      </c>
    </row>
    <row r="21" spans="1:13" ht="13.8" x14ac:dyDescent="0.25">
      <c r="A21" s="83" t="s">
        <v>146</v>
      </c>
      <c r="B21" s="84"/>
      <c r="C21" s="84">
        <v>1500</v>
      </c>
      <c r="D21" s="84"/>
      <c r="E21" s="85">
        <v>0</v>
      </c>
      <c r="F21" s="88">
        <f>+'Anticipated spend to End Year'!E19</f>
        <v>1500</v>
      </c>
      <c r="G21" s="88">
        <f>+F21+E21</f>
        <v>1500</v>
      </c>
      <c r="H21" s="84"/>
      <c r="I21" s="84">
        <f>+ROUND(G21*104.1%,0)</f>
        <v>1562</v>
      </c>
      <c r="J21" s="84"/>
      <c r="K21" s="88">
        <f>+G21-C21</f>
        <v>0</v>
      </c>
      <c r="L21" s="84">
        <f>+I21-C21</f>
        <v>62</v>
      </c>
      <c r="M21" s="69" t="s">
        <v>147</v>
      </c>
    </row>
    <row r="22" spans="1:13" ht="13.8" x14ac:dyDescent="0.25">
      <c r="A22" s="83" t="s">
        <v>139</v>
      </c>
      <c r="B22" s="84"/>
      <c r="C22" s="84">
        <v>0</v>
      </c>
      <c r="D22" s="84"/>
      <c r="E22" s="88">
        <v>0</v>
      </c>
      <c r="F22" s="84">
        <v>0</v>
      </c>
      <c r="G22" s="88">
        <f t="shared" si="3"/>
        <v>0</v>
      </c>
      <c r="H22" s="84"/>
      <c r="I22" s="84">
        <v>250</v>
      </c>
      <c r="J22" s="84"/>
      <c r="K22" s="88">
        <f t="shared" ref="K22" si="4">+G22-C22</f>
        <v>0</v>
      </c>
      <c r="L22" s="84">
        <f t="shared" ref="L22" si="5">+I22-C22</f>
        <v>250</v>
      </c>
      <c r="M22" s="49" t="s">
        <v>140</v>
      </c>
    </row>
    <row r="23" spans="1:13" ht="13.8" x14ac:dyDescent="0.25">
      <c r="A23" s="83" t="s">
        <v>150</v>
      </c>
      <c r="B23" s="84"/>
      <c r="C23" s="84">
        <v>800</v>
      </c>
      <c r="D23" s="84"/>
      <c r="E23" s="88">
        <v>0</v>
      </c>
      <c r="F23" s="84">
        <v>800</v>
      </c>
      <c r="G23" s="88">
        <f t="shared" si="3"/>
        <v>800</v>
      </c>
      <c r="H23" s="84"/>
      <c r="I23" s="84">
        <f>+ROUND(G23*104.1%,0)</f>
        <v>833</v>
      </c>
      <c r="J23" s="84"/>
      <c r="K23" s="88">
        <f t="shared" si="0"/>
        <v>0</v>
      </c>
      <c r="L23" s="84">
        <f t="shared" si="1"/>
        <v>33</v>
      </c>
    </row>
    <row r="24" spans="1:13" ht="13.8" x14ac:dyDescent="0.25">
      <c r="A24" s="83" t="s">
        <v>7</v>
      </c>
      <c r="B24" s="84"/>
      <c r="C24" s="84">
        <v>200</v>
      </c>
      <c r="D24" s="84"/>
      <c r="E24" s="85">
        <v>0</v>
      </c>
      <c r="F24" s="84">
        <v>200</v>
      </c>
      <c r="G24" s="88">
        <f>+F24+E24</f>
        <v>200</v>
      </c>
      <c r="H24" s="84"/>
      <c r="I24" s="84">
        <v>250</v>
      </c>
      <c r="J24" s="84"/>
      <c r="K24" s="88">
        <f>+G24-C24</f>
        <v>0</v>
      </c>
      <c r="L24" s="84">
        <f>+I24-C24</f>
        <v>50</v>
      </c>
    </row>
    <row r="25" spans="1:13" ht="13.8" x14ac:dyDescent="0.25">
      <c r="A25" s="83" t="s">
        <v>13</v>
      </c>
      <c r="B25" s="84"/>
      <c r="C25" s="84">
        <v>30</v>
      </c>
      <c r="D25" s="84"/>
      <c r="E25" s="88">
        <v>30</v>
      </c>
      <c r="F25" s="84">
        <v>0</v>
      </c>
      <c r="G25" s="88">
        <f t="shared" si="3"/>
        <v>30</v>
      </c>
      <c r="H25" s="84"/>
      <c r="I25" s="84">
        <f>+ROUND(G25*104.1%,0)</f>
        <v>31</v>
      </c>
      <c r="J25" s="84"/>
      <c r="K25" s="88">
        <f t="shared" si="0"/>
        <v>0</v>
      </c>
      <c r="L25" s="84">
        <f t="shared" si="1"/>
        <v>1</v>
      </c>
    </row>
    <row r="26" spans="1:13" ht="13.8" x14ac:dyDescent="0.25">
      <c r="A26" s="83" t="s">
        <v>15</v>
      </c>
      <c r="B26" s="84"/>
      <c r="C26" s="84">
        <v>250</v>
      </c>
      <c r="D26" s="84"/>
      <c r="E26" s="88">
        <v>250</v>
      </c>
      <c r="F26" s="84">
        <v>0</v>
      </c>
      <c r="G26" s="88">
        <f t="shared" si="3"/>
        <v>250</v>
      </c>
      <c r="H26" s="84"/>
      <c r="I26" s="84">
        <f t="shared" ref="I26:I29" si="6">+ROUND(G26*104.1%,0)</f>
        <v>260</v>
      </c>
      <c r="J26" s="84"/>
      <c r="K26" s="88">
        <f t="shared" si="0"/>
        <v>0</v>
      </c>
      <c r="L26" s="84">
        <f t="shared" si="1"/>
        <v>10</v>
      </c>
    </row>
    <row r="27" spans="1:13" ht="13.8" x14ac:dyDescent="0.25">
      <c r="A27" s="83" t="s">
        <v>20</v>
      </c>
      <c r="B27" s="84"/>
      <c r="C27" s="87">
        <v>500</v>
      </c>
      <c r="D27" s="87"/>
      <c r="E27" s="88">
        <v>0</v>
      </c>
      <c r="F27" s="88">
        <f>+'Anticipated spend to End Year'!E21</f>
        <v>500</v>
      </c>
      <c r="G27" s="88">
        <f>+F27+E27</f>
        <v>500</v>
      </c>
      <c r="H27" s="84"/>
      <c r="I27" s="84">
        <f t="shared" ref="I27" si="7">+ROUND(G27*104.1%,0)</f>
        <v>521</v>
      </c>
      <c r="J27" s="84"/>
      <c r="K27" s="88">
        <f>+G27-C27</f>
        <v>0</v>
      </c>
      <c r="L27" s="84">
        <f>+I27-C27</f>
        <v>21</v>
      </c>
      <c r="M27" s="69" t="s">
        <v>160</v>
      </c>
    </row>
    <row r="28" spans="1:13" ht="13.8" x14ac:dyDescent="0.25">
      <c r="A28" s="83" t="s">
        <v>153</v>
      </c>
      <c r="B28" s="84"/>
      <c r="C28" s="84">
        <v>2000</v>
      </c>
      <c r="D28" s="84"/>
      <c r="E28" s="88">
        <v>0</v>
      </c>
      <c r="F28" s="84">
        <v>0</v>
      </c>
      <c r="G28" s="88">
        <f t="shared" si="3"/>
        <v>0</v>
      </c>
      <c r="H28" s="84"/>
      <c r="I28" s="84">
        <v>1700</v>
      </c>
      <c r="J28" s="84"/>
      <c r="K28" s="88">
        <f t="shared" si="0"/>
        <v>-2000</v>
      </c>
      <c r="L28" s="84">
        <f t="shared" si="1"/>
        <v>-300</v>
      </c>
      <c r="M28" s="69" t="s">
        <v>152</v>
      </c>
    </row>
    <row r="29" spans="1:13" ht="13.8" x14ac:dyDescent="0.25">
      <c r="A29" s="83" t="s">
        <v>154</v>
      </c>
      <c r="B29" s="84"/>
      <c r="C29" s="84">
        <v>250</v>
      </c>
      <c r="D29" s="84"/>
      <c r="E29" s="88">
        <v>0</v>
      </c>
      <c r="F29" s="84">
        <f>+'Anticipated spend to End Year'!E18</f>
        <v>250</v>
      </c>
      <c r="G29" s="88">
        <f t="shared" si="3"/>
        <v>250</v>
      </c>
      <c r="H29" s="84"/>
      <c r="I29" s="84">
        <f t="shared" si="6"/>
        <v>260</v>
      </c>
      <c r="J29" s="84"/>
      <c r="K29" s="88">
        <f t="shared" si="0"/>
        <v>0</v>
      </c>
      <c r="L29" s="84">
        <f t="shared" si="1"/>
        <v>10</v>
      </c>
    </row>
    <row r="30" spans="1:13" s="78" customFormat="1" ht="13.8" x14ac:dyDescent="0.25">
      <c r="A30" s="83" t="s">
        <v>155</v>
      </c>
      <c r="B30" s="87"/>
      <c r="C30" s="87">
        <v>5000</v>
      </c>
      <c r="D30" s="85"/>
      <c r="E30" s="85">
        <v>22.5</v>
      </c>
      <c r="F30" s="84"/>
      <c r="G30" s="88">
        <f t="shared" si="3"/>
        <v>22.5</v>
      </c>
      <c r="H30" s="87"/>
      <c r="I30" s="84">
        <v>0</v>
      </c>
      <c r="J30" s="87"/>
      <c r="K30" s="88">
        <f t="shared" si="0"/>
        <v>-4977.5</v>
      </c>
      <c r="L30" s="84">
        <f t="shared" si="1"/>
        <v>-5000</v>
      </c>
      <c r="M30" s="69" t="s">
        <v>112</v>
      </c>
    </row>
    <row r="31" spans="1:13" s="91" customFormat="1" ht="13.8" x14ac:dyDescent="0.25">
      <c r="A31" s="83" t="s">
        <v>17</v>
      </c>
      <c r="B31" s="89"/>
      <c r="C31" s="87">
        <v>750</v>
      </c>
      <c r="D31" s="89"/>
      <c r="E31" s="85">
        <v>0</v>
      </c>
      <c r="F31" s="89">
        <v>0</v>
      </c>
      <c r="G31" s="88">
        <f t="shared" si="3"/>
        <v>0</v>
      </c>
      <c r="H31" s="89"/>
      <c r="I31" s="84">
        <v>500</v>
      </c>
      <c r="J31" s="89"/>
      <c r="K31" s="88">
        <f t="shared" si="0"/>
        <v>-750</v>
      </c>
      <c r="L31" s="84">
        <f t="shared" si="1"/>
        <v>-250</v>
      </c>
      <c r="M31" s="69" t="s">
        <v>156</v>
      </c>
    </row>
    <row r="32" spans="1:13" ht="13.8" x14ac:dyDescent="0.25">
      <c r="A32" s="83" t="s">
        <v>129</v>
      </c>
      <c r="B32" s="84"/>
      <c r="C32" s="87">
        <v>4000</v>
      </c>
      <c r="D32" s="87"/>
      <c r="E32" s="88">
        <v>595</v>
      </c>
      <c r="F32" s="87">
        <v>500</v>
      </c>
      <c r="G32" s="88">
        <f>+E32</f>
        <v>595</v>
      </c>
      <c r="H32" s="84"/>
      <c r="I32" s="87">
        <v>15000</v>
      </c>
      <c r="J32" s="84"/>
      <c r="K32" s="88">
        <f t="shared" si="0"/>
        <v>-3405</v>
      </c>
      <c r="L32" s="84">
        <f t="shared" si="1"/>
        <v>11000</v>
      </c>
      <c r="M32" s="69" t="s">
        <v>158</v>
      </c>
    </row>
    <row r="33" spans="1:13" ht="13.8" x14ac:dyDescent="0.25">
      <c r="A33" s="83" t="s">
        <v>11</v>
      </c>
      <c r="B33" s="84"/>
      <c r="C33" s="84">
        <v>420</v>
      </c>
      <c r="D33" s="84"/>
      <c r="E33" s="85">
        <v>504</v>
      </c>
      <c r="F33" s="84">
        <v>0</v>
      </c>
      <c r="G33" s="88">
        <f>+F33+E33</f>
        <v>504</v>
      </c>
      <c r="H33" s="84"/>
      <c r="I33" s="84">
        <v>600</v>
      </c>
      <c r="J33" s="84"/>
      <c r="K33" s="88">
        <f>+G33-C33</f>
        <v>84</v>
      </c>
      <c r="L33" s="84">
        <f>+I33-C33</f>
        <v>180</v>
      </c>
      <c r="M33" s="69" t="s">
        <v>159</v>
      </c>
    </row>
    <row r="34" spans="1:13" ht="13.8" x14ac:dyDescent="0.25">
      <c r="A34" s="83" t="s">
        <v>23</v>
      </c>
      <c r="B34" s="84"/>
      <c r="C34" s="87">
        <v>350</v>
      </c>
      <c r="D34" s="84"/>
      <c r="E34" s="85">
        <v>180.42</v>
      </c>
      <c r="F34" s="84">
        <f>+ROUND(E34/12*3,0)</f>
        <v>45</v>
      </c>
      <c r="G34" s="88">
        <f>+F34+E34</f>
        <v>225.42</v>
      </c>
      <c r="H34" s="84"/>
      <c r="I34" s="84">
        <f>+ROUND(G34*104.1%,0)</f>
        <v>235</v>
      </c>
      <c r="J34" s="84"/>
      <c r="K34" s="88">
        <f>+G34-C34</f>
        <v>-124.58000000000001</v>
      </c>
      <c r="L34" s="84">
        <f>+I34-C34</f>
        <v>-115</v>
      </c>
    </row>
    <row r="35" spans="1:13" ht="13.8" x14ac:dyDescent="0.25">
      <c r="A35" s="83" t="s">
        <v>21</v>
      </c>
      <c r="B35" s="84"/>
      <c r="C35" s="87">
        <v>500</v>
      </c>
      <c r="D35" s="87"/>
      <c r="E35" s="85" t="s">
        <v>37</v>
      </c>
      <c r="F35" s="84">
        <v>0</v>
      </c>
      <c r="G35" s="90">
        <v>0</v>
      </c>
      <c r="H35" s="84"/>
      <c r="I35" s="87">
        <v>0</v>
      </c>
      <c r="J35" s="84"/>
      <c r="K35" s="88">
        <f t="shared" si="0"/>
        <v>-500</v>
      </c>
      <c r="L35" s="84">
        <f t="shared" si="1"/>
        <v>-500</v>
      </c>
      <c r="M35" s="69" t="s">
        <v>185</v>
      </c>
    </row>
    <row r="36" spans="1:13" ht="13.8" x14ac:dyDescent="0.25">
      <c r="A36" s="83" t="s">
        <v>26</v>
      </c>
      <c r="B36" s="84"/>
      <c r="C36" s="87">
        <v>200</v>
      </c>
      <c r="D36" s="87"/>
      <c r="E36" s="88">
        <v>0</v>
      </c>
      <c r="F36" s="88">
        <f>+'Anticipated spend to End Year'!E20</f>
        <v>200</v>
      </c>
      <c r="G36" s="88">
        <f t="shared" si="3"/>
        <v>200</v>
      </c>
      <c r="H36" s="84"/>
      <c r="I36" s="84">
        <f>13*2.5*8</f>
        <v>260</v>
      </c>
      <c r="J36" s="84"/>
      <c r="K36" s="88">
        <f t="shared" si="0"/>
        <v>0</v>
      </c>
      <c r="L36" s="84">
        <f t="shared" si="1"/>
        <v>60</v>
      </c>
      <c r="M36" s="69" t="s">
        <v>161</v>
      </c>
    </row>
    <row r="37" spans="1:13" ht="13.8" x14ac:dyDescent="0.25">
      <c r="A37" s="92"/>
      <c r="C37" s="78"/>
      <c r="D37" s="78"/>
      <c r="E37" s="93"/>
      <c r="G37" s="93"/>
      <c r="I37" s="78"/>
    </row>
    <row r="38" spans="1:13" ht="13.8" x14ac:dyDescent="0.25">
      <c r="A38" s="94" t="s">
        <v>177</v>
      </c>
      <c r="B38" s="81"/>
      <c r="C38" s="95">
        <f>SUM(C5:C36)</f>
        <v>50835.08</v>
      </c>
      <c r="D38" s="96"/>
      <c r="E38" s="95">
        <f>SUM(E5:E37)</f>
        <v>24919.97</v>
      </c>
      <c r="F38" s="95">
        <f>SUM(F5:F37)</f>
        <v>10171.14</v>
      </c>
      <c r="G38" s="95">
        <f>SUM(G5:G37)</f>
        <v>36610.85</v>
      </c>
      <c r="H38" s="97"/>
      <c r="I38" s="95">
        <f>SUM(I5:I37)</f>
        <v>56110.2</v>
      </c>
      <c r="J38" s="97"/>
      <c r="K38" s="95">
        <f>SUM(K5:K37)</f>
        <v>-5552.2300000000005</v>
      </c>
      <c r="L38" s="98">
        <f>SUM(L5:L37)</f>
        <v>5275.1200000000008</v>
      </c>
    </row>
    <row r="39" spans="1:13" ht="13.8" x14ac:dyDescent="0.25">
      <c r="A39" s="92"/>
      <c r="D39" s="81"/>
      <c r="M39" s="49">
        <f>3788+1833</f>
        <v>5621</v>
      </c>
    </row>
    <row r="40" spans="1:13" ht="16.2" customHeight="1" x14ac:dyDescent="0.25">
      <c r="A40" s="99" t="s">
        <v>178</v>
      </c>
      <c r="B40" s="100" t="s">
        <v>179</v>
      </c>
      <c r="C40" s="101"/>
      <c r="D40" s="102"/>
      <c r="E40" s="101"/>
      <c r="F40" s="101"/>
      <c r="G40" s="101"/>
      <c r="H40" s="101"/>
      <c r="I40" s="101"/>
      <c r="J40" s="101"/>
      <c r="K40" s="103"/>
    </row>
    <row r="41" spans="1:13" ht="13.8" x14ac:dyDescent="0.25">
      <c r="A41" s="104" t="s">
        <v>92</v>
      </c>
      <c r="B41" s="105"/>
      <c r="C41" s="105"/>
      <c r="D41" s="106"/>
      <c r="E41" s="105"/>
      <c r="F41" s="105"/>
      <c r="G41" s="105"/>
      <c r="H41" s="105"/>
      <c r="I41" s="105"/>
      <c r="J41" s="105"/>
      <c r="K41" s="107"/>
    </row>
    <row r="42" spans="1:13" ht="13.8" x14ac:dyDescent="0.25">
      <c r="A42" s="104" t="s">
        <v>57</v>
      </c>
      <c r="B42" s="108">
        <v>40</v>
      </c>
      <c r="C42" s="105"/>
      <c r="D42" s="105"/>
      <c r="E42" s="105"/>
      <c r="F42" s="105"/>
      <c r="G42" s="105"/>
      <c r="H42" s="105"/>
      <c r="I42" s="105">
        <f>+ROUND(B42*104.1%,0)</f>
        <v>42</v>
      </c>
      <c r="J42" s="105"/>
      <c r="K42" s="107"/>
    </row>
    <row r="43" spans="1:13" ht="13.8" x14ac:dyDescent="0.25">
      <c r="A43" s="104" t="s">
        <v>56</v>
      </c>
      <c r="B43" s="108">
        <v>332</v>
      </c>
      <c r="C43" s="105"/>
      <c r="D43" s="105"/>
      <c r="E43" s="105"/>
      <c r="F43" s="105"/>
      <c r="G43" s="105"/>
      <c r="H43" s="105"/>
      <c r="I43" s="105">
        <v>0</v>
      </c>
      <c r="J43" s="105"/>
      <c r="K43" s="107"/>
    </row>
    <row r="44" spans="1:13" ht="13.8" x14ac:dyDescent="0.25">
      <c r="A44" s="104" t="s">
        <v>58</v>
      </c>
      <c r="B44" s="108">
        <v>28.78</v>
      </c>
      <c r="C44" s="105"/>
      <c r="D44" s="105"/>
      <c r="E44" s="105"/>
      <c r="F44" s="105"/>
      <c r="G44" s="105"/>
      <c r="H44" s="105"/>
      <c r="I44" s="105">
        <f t="shared" ref="I44:I45" si="8">+ROUND(B44*104.1%,0)</f>
        <v>30</v>
      </c>
      <c r="J44" s="105"/>
      <c r="K44" s="107"/>
    </row>
    <row r="45" spans="1:13" ht="13.8" x14ac:dyDescent="0.25">
      <c r="A45" s="104" t="s">
        <v>106</v>
      </c>
      <c r="B45" s="108">
        <f>12.36*12</f>
        <v>148.32</v>
      </c>
      <c r="C45" s="105"/>
      <c r="D45" s="105"/>
      <c r="E45" s="105"/>
      <c r="F45" s="105"/>
      <c r="G45" s="105"/>
      <c r="H45" s="105"/>
      <c r="I45" s="105">
        <f t="shared" si="8"/>
        <v>154</v>
      </c>
      <c r="J45" s="105"/>
      <c r="K45" s="107"/>
    </row>
    <row r="46" spans="1:13" ht="13.8" x14ac:dyDescent="0.25">
      <c r="A46" s="109"/>
      <c r="B46" s="110">
        <f>SUM(B42:B45)</f>
        <v>549.09999999999991</v>
      </c>
      <c r="C46" s="111"/>
      <c r="D46" s="111"/>
      <c r="E46" s="111"/>
      <c r="F46" s="111"/>
      <c r="G46" s="111"/>
      <c r="H46" s="111"/>
      <c r="I46" s="110">
        <f>SUM(I42:I45)</f>
        <v>226</v>
      </c>
      <c r="J46" s="111"/>
      <c r="K46" s="112"/>
    </row>
    <row r="47" spans="1:13" ht="13.8" x14ac:dyDescent="0.25">
      <c r="A47" s="94"/>
    </row>
    <row r="48" spans="1:13" ht="13.8" x14ac:dyDescent="0.25">
      <c r="A48" s="113" t="s">
        <v>175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15"/>
      <c r="L48" s="114"/>
      <c r="M48" s="70"/>
    </row>
    <row r="49" spans="1:13" s="78" customFormat="1" ht="13.8" x14ac:dyDescent="0.25">
      <c r="A49" s="116" t="s">
        <v>126</v>
      </c>
      <c r="B49" s="117"/>
      <c r="C49" s="117">
        <v>3500</v>
      </c>
      <c r="D49" s="118"/>
      <c r="E49" s="117"/>
      <c r="F49" s="117"/>
      <c r="G49" s="117"/>
      <c r="H49" s="117"/>
      <c r="I49" s="117">
        <v>4250</v>
      </c>
      <c r="J49" s="117"/>
      <c r="K49" s="119"/>
      <c r="L49" s="120">
        <f t="shared" ref="L49" si="9">+I49-C49</f>
        <v>750</v>
      </c>
      <c r="M49" s="69" t="s">
        <v>196</v>
      </c>
    </row>
    <row r="50" spans="1:13" s="78" customFormat="1" ht="41.4" x14ac:dyDescent="0.25">
      <c r="A50" s="121" t="s">
        <v>195</v>
      </c>
      <c r="B50" s="87"/>
      <c r="C50" s="87"/>
      <c r="D50" s="122"/>
      <c r="E50" s="87"/>
      <c r="F50" s="87"/>
      <c r="G50" s="87"/>
      <c r="H50" s="87"/>
      <c r="I50" s="87"/>
      <c r="J50" s="87"/>
      <c r="K50" s="85"/>
      <c r="L50" s="123"/>
      <c r="M50" s="69"/>
    </row>
    <row r="51" spans="1:13" s="78" customFormat="1" ht="13.8" x14ac:dyDescent="0.25">
      <c r="A51" s="124" t="s">
        <v>39</v>
      </c>
      <c r="B51" s="125"/>
      <c r="C51" s="126"/>
      <c r="D51" s="127"/>
      <c r="E51" s="125">
        <v>3000</v>
      </c>
      <c r="F51" s="125">
        <v>0</v>
      </c>
      <c r="G51" s="128">
        <f t="shared" ref="G51" si="10">+F51+E51</f>
        <v>3000</v>
      </c>
      <c r="H51" s="125"/>
      <c r="I51" s="125"/>
      <c r="J51" s="125"/>
      <c r="K51" s="126"/>
      <c r="L51" s="129"/>
      <c r="M51" s="69"/>
    </row>
    <row r="52" spans="1:13" s="78" customFormat="1" ht="13.8" x14ac:dyDescent="0.25">
      <c r="A52" s="92"/>
      <c r="D52" s="130"/>
      <c r="K52" s="131"/>
      <c r="M52" s="69"/>
    </row>
    <row r="53" spans="1:13" ht="13.8" x14ac:dyDescent="0.25">
      <c r="A53" s="132" t="s">
        <v>194</v>
      </c>
      <c r="B53" s="82"/>
      <c r="C53" s="82"/>
      <c r="D53" s="82"/>
      <c r="E53" s="82"/>
      <c r="F53" s="82"/>
      <c r="G53" s="82"/>
      <c r="H53" s="82"/>
      <c r="I53" s="82"/>
      <c r="J53" s="82"/>
      <c r="K53" s="133"/>
      <c r="L53" s="82"/>
      <c r="M53" s="60"/>
    </row>
    <row r="54" spans="1:13" ht="13.8" x14ac:dyDescent="0.25">
      <c r="A54" s="116" t="s">
        <v>126</v>
      </c>
      <c r="B54" s="134"/>
      <c r="C54" s="134">
        <v>3000</v>
      </c>
      <c r="D54" s="117"/>
      <c r="E54" s="134"/>
      <c r="F54" s="134"/>
      <c r="G54" s="134"/>
      <c r="H54" s="134"/>
      <c r="I54" s="117">
        <v>3000</v>
      </c>
      <c r="J54" s="134"/>
      <c r="K54" s="135"/>
      <c r="L54" s="120">
        <f t="shared" ref="L54" si="11">+I54-C54</f>
        <v>0</v>
      </c>
    </row>
    <row r="55" spans="1:13" ht="13.8" x14ac:dyDescent="0.25">
      <c r="A55" s="124" t="s">
        <v>93</v>
      </c>
      <c r="B55" s="68"/>
      <c r="C55" s="68"/>
      <c r="D55" s="125"/>
      <c r="E55" s="68">
        <v>170</v>
      </c>
      <c r="F55" s="68">
        <v>0</v>
      </c>
      <c r="G55" s="128">
        <f t="shared" ref="G55" si="12">+F55+E55</f>
        <v>170</v>
      </c>
      <c r="H55" s="68"/>
      <c r="I55" s="68"/>
      <c r="J55" s="68"/>
      <c r="K55" s="128"/>
      <c r="L55" s="136"/>
    </row>
    <row r="56" spans="1:13" ht="13.8" x14ac:dyDescent="0.25">
      <c r="A56" s="92"/>
      <c r="D56" s="78"/>
    </row>
    <row r="57" spans="1:13" ht="13.8" x14ac:dyDescent="0.25">
      <c r="A57" s="113" t="s">
        <v>174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5"/>
      <c r="L57" s="114"/>
      <c r="M57" s="70"/>
    </row>
    <row r="58" spans="1:13" ht="13.8" x14ac:dyDescent="0.25">
      <c r="A58" s="116" t="s">
        <v>126</v>
      </c>
      <c r="B58" s="134"/>
      <c r="C58" s="134">
        <v>4000</v>
      </c>
      <c r="D58" s="117"/>
      <c r="E58" s="134">
        <v>0</v>
      </c>
      <c r="F58" s="134">
        <v>0</v>
      </c>
      <c r="G58" s="134">
        <v>0</v>
      </c>
      <c r="H58" s="134"/>
      <c r="I58" s="117">
        <v>3000</v>
      </c>
      <c r="J58" s="134"/>
      <c r="K58" s="135"/>
      <c r="L58" s="120">
        <f t="shared" ref="L58" si="13">+I58-C58</f>
        <v>-1000</v>
      </c>
      <c r="M58" s="69"/>
    </row>
    <row r="59" spans="1:13" ht="13.8" x14ac:dyDescent="0.25">
      <c r="A59" s="137"/>
      <c r="B59" s="68"/>
      <c r="C59" s="68"/>
      <c r="D59" s="125"/>
      <c r="E59" s="68"/>
      <c r="F59" s="68"/>
      <c r="G59" s="68"/>
      <c r="H59" s="68"/>
      <c r="I59" s="68"/>
      <c r="J59" s="68"/>
      <c r="K59" s="128"/>
      <c r="L59" s="136"/>
    </row>
    <row r="60" spans="1:13" ht="13.8" x14ac:dyDescent="0.25">
      <c r="A60" s="138"/>
      <c r="D60" s="78"/>
    </row>
    <row r="61" spans="1:13" ht="13.8" x14ac:dyDescent="0.25">
      <c r="A61" s="113" t="s">
        <v>197</v>
      </c>
      <c r="B61" s="114"/>
      <c r="C61" s="114"/>
      <c r="D61" s="114"/>
      <c r="E61" s="114"/>
      <c r="F61" s="114"/>
      <c r="G61" s="114"/>
      <c r="H61" s="114"/>
      <c r="I61" s="114"/>
      <c r="J61" s="114"/>
      <c r="K61" s="115"/>
      <c r="L61" s="114"/>
      <c r="M61" s="70"/>
    </row>
    <row r="62" spans="1:13" ht="13.8" x14ac:dyDescent="0.25">
      <c r="A62" s="116" t="s">
        <v>126</v>
      </c>
      <c r="B62" s="134"/>
      <c r="C62" s="134">
        <v>10000</v>
      </c>
      <c r="D62" s="119"/>
      <c r="E62" s="134"/>
      <c r="F62" s="134"/>
      <c r="G62" s="134"/>
      <c r="H62" s="134"/>
      <c r="I62" s="134">
        <v>10000</v>
      </c>
      <c r="J62" s="134"/>
      <c r="K62" s="135"/>
      <c r="L62" s="120">
        <f t="shared" ref="L62" si="14">+I62-C62</f>
        <v>0</v>
      </c>
    </row>
    <row r="63" spans="1:13" ht="13.8" x14ac:dyDescent="0.25">
      <c r="A63" s="139" t="s">
        <v>41</v>
      </c>
      <c r="B63" s="84"/>
      <c r="C63" s="84"/>
      <c r="D63" s="85"/>
      <c r="E63" s="140">
        <v>5000</v>
      </c>
      <c r="F63" s="84"/>
      <c r="G63" s="140">
        <f>+B70</f>
        <v>4209.58</v>
      </c>
      <c r="H63" s="84"/>
      <c r="I63" s="84"/>
      <c r="J63" s="84"/>
      <c r="K63" s="88"/>
      <c r="L63" s="141"/>
    </row>
    <row r="64" spans="1:13" ht="13.8" x14ac:dyDescent="0.25">
      <c r="A64" s="142" t="s">
        <v>164</v>
      </c>
      <c r="B64" s="84">
        <v>24.58</v>
      </c>
      <c r="C64" s="84"/>
      <c r="D64" s="85"/>
      <c r="E64" s="84"/>
      <c r="F64" s="84"/>
      <c r="G64" s="84"/>
      <c r="H64" s="84"/>
      <c r="I64" s="84"/>
      <c r="J64" s="84"/>
      <c r="K64" s="88"/>
      <c r="L64" s="141"/>
    </row>
    <row r="65" spans="1:13" ht="13.8" x14ac:dyDescent="0.25">
      <c r="A65" s="142" t="s">
        <v>165</v>
      </c>
      <c r="B65" s="84">
        <v>450</v>
      </c>
      <c r="C65" s="84"/>
      <c r="D65" s="85"/>
      <c r="E65" s="84"/>
      <c r="F65" s="84"/>
      <c r="G65" s="84"/>
      <c r="H65" s="84"/>
      <c r="I65" s="84"/>
      <c r="J65" s="84"/>
      <c r="K65" s="88"/>
      <c r="L65" s="141"/>
    </row>
    <row r="66" spans="1:13" ht="13.8" x14ac:dyDescent="0.25">
      <c r="A66" s="142" t="s">
        <v>166</v>
      </c>
      <c r="B66" s="84">
        <v>400</v>
      </c>
      <c r="C66" s="84"/>
      <c r="D66" s="143"/>
      <c r="E66" s="84"/>
      <c r="F66" s="84"/>
      <c r="G66" s="84"/>
      <c r="H66" s="84"/>
      <c r="I66" s="84"/>
      <c r="J66" s="84"/>
      <c r="K66" s="88"/>
      <c r="L66" s="141"/>
    </row>
    <row r="67" spans="1:13" ht="13.8" x14ac:dyDescent="0.25">
      <c r="A67" s="142" t="s">
        <v>47</v>
      </c>
      <c r="B67" s="84">
        <v>522.5</v>
      </c>
      <c r="C67" s="84"/>
      <c r="D67" s="84"/>
      <c r="E67" s="84"/>
      <c r="F67" s="84"/>
      <c r="G67" s="84"/>
      <c r="H67" s="84"/>
      <c r="I67" s="84"/>
      <c r="J67" s="84"/>
      <c r="K67" s="88"/>
      <c r="L67" s="141"/>
    </row>
    <row r="68" spans="1:13" ht="13.8" x14ac:dyDescent="0.25">
      <c r="A68" s="142" t="s">
        <v>45</v>
      </c>
      <c r="B68" s="87">
        <v>2572.5</v>
      </c>
      <c r="C68" s="84"/>
      <c r="D68" s="84"/>
      <c r="E68" s="84"/>
      <c r="F68" s="84"/>
      <c r="G68" s="84"/>
      <c r="H68" s="84"/>
      <c r="I68" s="84"/>
      <c r="J68" s="84"/>
      <c r="K68" s="88"/>
      <c r="L68" s="141"/>
    </row>
    <row r="69" spans="1:13" ht="13.8" x14ac:dyDescent="0.25">
      <c r="A69" s="142" t="s">
        <v>46</v>
      </c>
      <c r="B69" s="84">
        <v>240</v>
      </c>
      <c r="C69" s="84"/>
      <c r="D69" s="84"/>
      <c r="E69" s="84"/>
      <c r="F69" s="84"/>
      <c r="G69" s="84"/>
      <c r="H69" s="84"/>
      <c r="I69" s="84"/>
      <c r="J69" s="84"/>
      <c r="K69" s="88"/>
      <c r="L69" s="141"/>
    </row>
    <row r="70" spans="1:13" ht="13.8" x14ac:dyDescent="0.25">
      <c r="A70" s="144" t="s">
        <v>192</v>
      </c>
      <c r="B70" s="143">
        <f>SUM(B64:B69)</f>
        <v>4209.58</v>
      </c>
      <c r="C70" s="145"/>
      <c r="D70" s="84"/>
      <c r="E70" s="84"/>
      <c r="F70" s="84"/>
      <c r="G70" s="84"/>
      <c r="H70" s="84"/>
      <c r="I70" s="84"/>
      <c r="J70" s="84"/>
      <c r="K70" s="88"/>
      <c r="L70" s="141"/>
    </row>
    <row r="71" spans="1:13" ht="13.8" x14ac:dyDescent="0.25">
      <c r="A71" s="146" t="s">
        <v>54</v>
      </c>
      <c r="B71" s="147"/>
      <c r="C71" s="84"/>
      <c r="D71" s="84"/>
      <c r="E71" s="84">
        <v>200</v>
      </c>
      <c r="F71" s="84"/>
      <c r="G71" s="84">
        <f>+E71</f>
        <v>200</v>
      </c>
      <c r="H71" s="84"/>
      <c r="I71" s="84"/>
      <c r="J71" s="84"/>
      <c r="K71" s="88"/>
      <c r="L71" s="141"/>
    </row>
    <row r="72" spans="1:13" ht="10.8" customHeight="1" x14ac:dyDescent="0.25">
      <c r="A72" s="148" t="s">
        <v>162</v>
      </c>
      <c r="B72" s="68"/>
      <c r="C72" s="68"/>
      <c r="D72" s="68"/>
      <c r="E72" s="68">
        <v>92.94</v>
      </c>
      <c r="F72" s="68"/>
      <c r="G72" s="68">
        <f>+E72</f>
        <v>92.94</v>
      </c>
      <c r="H72" s="68"/>
      <c r="I72" s="68"/>
      <c r="J72" s="68"/>
      <c r="K72" s="128"/>
      <c r="L72" s="136">
        <f t="shared" ref="L72" si="15">+I72-C72</f>
        <v>0</v>
      </c>
    </row>
    <row r="73" spans="1:13" ht="13.8" x14ac:dyDescent="0.25">
      <c r="A73" s="92"/>
      <c r="B73" s="149"/>
    </row>
    <row r="74" spans="1:13" ht="13.8" x14ac:dyDescent="0.25">
      <c r="A74" s="113" t="s">
        <v>193</v>
      </c>
      <c r="B74" s="114"/>
      <c r="C74" s="114"/>
      <c r="D74" s="114"/>
      <c r="E74" s="114"/>
      <c r="F74" s="114"/>
      <c r="G74" s="114"/>
      <c r="H74" s="114"/>
      <c r="I74" s="114"/>
      <c r="J74" s="114"/>
      <c r="K74" s="115"/>
      <c r="L74" s="114"/>
      <c r="M74" s="70"/>
    </row>
    <row r="75" spans="1:13" ht="27.6" x14ac:dyDescent="0.25">
      <c r="A75" s="66" t="s">
        <v>180</v>
      </c>
      <c r="B75" s="67"/>
      <c r="C75" s="68">
        <v>0</v>
      </c>
      <c r="D75" s="68"/>
      <c r="E75" s="68">
        <v>0</v>
      </c>
      <c r="F75" s="68">
        <v>0</v>
      </c>
      <c r="G75" s="68">
        <v>0</v>
      </c>
      <c r="H75" s="68"/>
      <c r="I75" s="68">
        <v>5000</v>
      </c>
      <c r="J75" s="68"/>
      <c r="K75" s="128"/>
      <c r="L75" s="136">
        <f t="shared" ref="L75" si="16">+I75-C75</f>
        <v>5000</v>
      </c>
    </row>
    <row r="76" spans="1:13" ht="13.8" x14ac:dyDescent="0.25">
      <c r="A76" s="92"/>
      <c r="B76" s="150"/>
    </row>
    <row r="77" spans="1:13" ht="13.8" x14ac:dyDescent="0.25">
      <c r="A77" s="151" t="s">
        <v>181</v>
      </c>
      <c r="B77" s="152"/>
      <c r="C77" s="153">
        <f>SUM(C38:C76)</f>
        <v>71335.08</v>
      </c>
      <c r="D77" s="154"/>
      <c r="E77" s="153">
        <f>SUM(E38:E73)</f>
        <v>33382.910000000003</v>
      </c>
      <c r="F77" s="153">
        <f>SUM(F38:F76)</f>
        <v>10171.14</v>
      </c>
      <c r="G77" s="153">
        <f>SUM(G38:G76)</f>
        <v>44283.37</v>
      </c>
      <c r="H77" s="154"/>
      <c r="I77" s="153">
        <f>SUM(I38:I76)</f>
        <v>81812.2</v>
      </c>
      <c r="J77" s="154"/>
      <c r="K77" s="154"/>
      <c r="L77" s="153">
        <f t="shared" ref="L77" si="17">+I77-C77</f>
        <v>10477.119999999995</v>
      </c>
      <c r="M77" s="71"/>
    </row>
    <row r="78" spans="1:13" x14ac:dyDescent="0.25">
      <c r="K78" s="77"/>
    </row>
    <row r="79" spans="1:13" s="49" customFormat="1" ht="15.6" x14ac:dyDescent="0.25">
      <c r="A79" s="65" t="s">
        <v>183</v>
      </c>
      <c r="B79" s="62"/>
      <c r="C79" s="61"/>
      <c r="D79" s="61"/>
      <c r="E79" s="61"/>
      <c r="F79" s="61"/>
      <c r="G79" s="61"/>
      <c r="H79" s="61"/>
      <c r="I79" s="61"/>
      <c r="J79" s="63"/>
      <c r="K79" s="64"/>
      <c r="L79" s="61"/>
      <c r="M79" s="63"/>
    </row>
    <row r="80" spans="1:13" ht="13.8" x14ac:dyDescent="0.25">
      <c r="A80" s="155"/>
      <c r="B80" s="156"/>
      <c r="C80" s="157"/>
      <c r="D80" s="157"/>
      <c r="E80" s="157"/>
      <c r="F80" s="157"/>
      <c r="G80" s="158" t="s">
        <v>170</v>
      </c>
      <c r="H80" s="158"/>
      <c r="I80" s="158" t="s">
        <v>122</v>
      </c>
      <c r="J80" s="157"/>
      <c r="K80" s="159"/>
      <c r="L80" s="157"/>
      <c r="M80" s="72"/>
    </row>
    <row r="81" spans="1:13" ht="13.8" x14ac:dyDescent="0.25">
      <c r="A81" s="160" t="s">
        <v>169</v>
      </c>
      <c r="B81" s="161"/>
      <c r="C81" s="162"/>
      <c r="D81" s="162"/>
      <c r="E81" s="162"/>
      <c r="F81" s="162"/>
      <c r="G81" s="163">
        <v>49835.08</v>
      </c>
      <c r="H81" s="164"/>
      <c r="I81" s="164">
        <v>61.72</v>
      </c>
      <c r="J81" s="162"/>
      <c r="K81" s="165"/>
      <c r="L81" s="162"/>
      <c r="M81" s="73"/>
    </row>
    <row r="82" spans="1:13" ht="13.8" x14ac:dyDescent="0.25">
      <c r="A82" s="166"/>
      <c r="B82" s="161"/>
      <c r="C82" s="162"/>
      <c r="D82" s="162"/>
      <c r="E82" s="162"/>
      <c r="F82" s="162"/>
      <c r="G82" s="167"/>
      <c r="H82" s="162"/>
      <c r="I82" s="162"/>
      <c r="J82" s="162"/>
      <c r="K82" s="167"/>
      <c r="L82" s="162"/>
      <c r="M82" s="73"/>
    </row>
    <row r="83" spans="1:13" ht="13.8" x14ac:dyDescent="0.25">
      <c r="A83" s="160" t="s">
        <v>171</v>
      </c>
      <c r="B83" s="162"/>
      <c r="C83" s="168"/>
      <c r="D83" s="162"/>
      <c r="E83" s="162"/>
      <c r="F83" s="162"/>
      <c r="G83" s="169" t="s">
        <v>126</v>
      </c>
      <c r="H83" s="170"/>
      <c r="I83" s="170" t="s">
        <v>127</v>
      </c>
      <c r="J83" s="162"/>
      <c r="K83" s="167"/>
      <c r="L83" s="162"/>
      <c r="M83" s="73"/>
    </row>
    <row r="84" spans="1:13" x14ac:dyDescent="0.25">
      <c r="A84" s="171" t="s">
        <v>108</v>
      </c>
      <c r="B84" s="162"/>
      <c r="C84" s="162"/>
      <c r="D84" s="162"/>
      <c r="E84" s="162"/>
      <c r="F84" s="162"/>
      <c r="G84" s="172">
        <f>+I77</f>
        <v>81812.2</v>
      </c>
      <c r="H84" s="162"/>
      <c r="I84" s="162"/>
      <c r="J84" s="162"/>
      <c r="K84" s="167"/>
      <c r="L84" s="162"/>
      <c r="M84" s="73"/>
    </row>
    <row r="85" spans="1:13" x14ac:dyDescent="0.25">
      <c r="A85" s="171" t="s">
        <v>109</v>
      </c>
      <c r="B85" s="162"/>
      <c r="C85" s="162"/>
      <c r="D85" s="162"/>
      <c r="E85" s="162"/>
      <c r="F85" s="162"/>
      <c r="G85" s="172">
        <f>+G77-C77</f>
        <v>-27051.71</v>
      </c>
      <c r="H85" s="162"/>
      <c r="I85" s="162"/>
      <c r="J85" s="162"/>
      <c r="K85" s="167"/>
      <c r="L85" s="162"/>
      <c r="M85" s="73"/>
    </row>
    <row r="86" spans="1:13" x14ac:dyDescent="0.25">
      <c r="A86" s="171" t="s">
        <v>107</v>
      </c>
      <c r="B86" s="162"/>
      <c r="C86" s="162"/>
      <c r="D86" s="162"/>
      <c r="E86" s="162"/>
      <c r="F86" s="162"/>
      <c r="G86" s="163">
        <f>+G85+G84</f>
        <v>54760.49</v>
      </c>
      <c r="H86" s="164"/>
      <c r="I86" s="173">
        <f>+I92/G92*G86</f>
        <v>67.820046497366903</v>
      </c>
      <c r="J86" s="162"/>
      <c r="K86" s="167"/>
      <c r="L86" s="162"/>
      <c r="M86" s="73"/>
    </row>
    <row r="87" spans="1:13" x14ac:dyDescent="0.25">
      <c r="A87" s="171" t="s">
        <v>25</v>
      </c>
      <c r="B87" s="162"/>
      <c r="C87" s="162"/>
      <c r="D87" s="162"/>
      <c r="E87" s="162"/>
      <c r="F87" s="162"/>
      <c r="G87" s="167"/>
      <c r="H87" s="162"/>
      <c r="I87" s="168"/>
      <c r="J87" s="162"/>
      <c r="K87" s="167"/>
      <c r="L87" s="162"/>
      <c r="M87" s="73"/>
    </row>
    <row r="88" spans="1:13" x14ac:dyDescent="0.25">
      <c r="A88" s="171"/>
      <c r="B88" s="162"/>
      <c r="C88" s="162"/>
      <c r="D88" s="162"/>
      <c r="E88" s="162"/>
      <c r="F88" s="162"/>
      <c r="G88" s="169" t="s">
        <v>126</v>
      </c>
      <c r="H88" s="170"/>
      <c r="I88" s="170" t="s">
        <v>127</v>
      </c>
      <c r="J88" s="170"/>
      <c r="K88" s="169" t="s">
        <v>172</v>
      </c>
      <c r="L88" s="162"/>
      <c r="M88" s="73"/>
    </row>
    <row r="89" spans="1:13" x14ac:dyDescent="0.25">
      <c r="A89" s="171" t="s">
        <v>173</v>
      </c>
      <c r="B89" s="162"/>
      <c r="C89" s="162"/>
      <c r="D89" s="162"/>
      <c r="E89" s="162"/>
      <c r="F89" s="162"/>
      <c r="G89" s="163">
        <f>+G86-G81</f>
        <v>4925.4099999999962</v>
      </c>
      <c r="H89" s="164"/>
      <c r="I89" s="173">
        <f>+I86-I81</f>
        <v>6.100046497366904</v>
      </c>
      <c r="J89" s="162"/>
      <c r="K89" s="174">
        <f>+I89/I81%</f>
        <v>9.8834194707824121</v>
      </c>
      <c r="L89" s="162"/>
      <c r="M89" s="73"/>
    </row>
    <row r="90" spans="1:13" ht="7.8" hidden="1" customHeight="1" x14ac:dyDescent="0.25">
      <c r="A90" s="175" t="s">
        <v>167</v>
      </c>
      <c r="M90" s="73"/>
    </row>
    <row r="91" spans="1:13" ht="13.8" hidden="1" x14ac:dyDescent="0.25">
      <c r="A91" s="176" t="s">
        <v>168</v>
      </c>
      <c r="B91" s="150"/>
      <c r="G91" s="78" t="s">
        <v>126</v>
      </c>
      <c r="I91" s="78" t="s">
        <v>122</v>
      </c>
      <c r="M91" s="73"/>
    </row>
    <row r="92" spans="1:13" ht="13.8" hidden="1" x14ac:dyDescent="0.25">
      <c r="A92" s="177" t="s">
        <v>65</v>
      </c>
      <c r="B92" s="150"/>
      <c r="G92" s="178">
        <v>49835.08</v>
      </c>
      <c r="I92" s="77">
        <v>61.72</v>
      </c>
      <c r="M92" s="73"/>
    </row>
    <row r="93" spans="1:13" ht="13.8" hidden="1" x14ac:dyDescent="0.25">
      <c r="A93" s="177" t="s">
        <v>66</v>
      </c>
      <c r="B93" s="150"/>
      <c r="G93" s="178">
        <v>515.83000000000004</v>
      </c>
      <c r="M93" s="73"/>
    </row>
    <row r="94" spans="1:13" ht="13.8" hidden="1" x14ac:dyDescent="0.25">
      <c r="A94" s="177" t="s">
        <v>68</v>
      </c>
      <c r="G94" s="178">
        <v>340</v>
      </c>
      <c r="M94" s="73"/>
    </row>
    <row r="95" spans="1:13" ht="7.2" hidden="1" customHeight="1" x14ac:dyDescent="0.25">
      <c r="A95" s="177" t="s">
        <v>67</v>
      </c>
      <c r="G95" s="179">
        <v>38.71</v>
      </c>
      <c r="M95" s="73"/>
    </row>
    <row r="96" spans="1:13" ht="12" hidden="1" customHeight="1" x14ac:dyDescent="0.25">
      <c r="A96" s="180"/>
      <c r="G96" s="178">
        <f>SUM(G92:G95)</f>
        <v>50729.62</v>
      </c>
      <c r="M96" s="73"/>
    </row>
    <row r="97" spans="1:13" x14ac:dyDescent="0.25">
      <c r="A97" s="181"/>
      <c r="B97" s="182"/>
      <c r="C97" s="182"/>
      <c r="D97" s="182"/>
      <c r="E97" s="182"/>
      <c r="F97" s="182"/>
      <c r="G97" s="182"/>
      <c r="H97" s="182"/>
      <c r="I97" s="182"/>
      <c r="J97" s="182"/>
      <c r="K97" s="183"/>
      <c r="L97" s="182"/>
      <c r="M97" s="74"/>
    </row>
    <row r="111" spans="1:13" x14ac:dyDescent="0.25">
      <c r="C111" s="184"/>
    </row>
    <row r="113" spans="1:13" s="184" customFormat="1" x14ac:dyDescent="0.25">
      <c r="A113" s="77"/>
      <c r="B113" s="77"/>
      <c r="C113" s="77"/>
      <c r="K113" s="185"/>
      <c r="M113" s="75"/>
    </row>
  </sheetData>
  <mergeCells count="1">
    <mergeCell ref="C1:G1"/>
  </mergeCells>
  <printOptions gridLines="1"/>
  <pageMargins left="0.23622047244094491" right="0.23622047244094491" top="1.1330314960629921" bottom="0.74803149606299213" header="0.31496062992125984" footer="0.31496062992125984"/>
  <pageSetup scale="87" orientation="landscape" r:id="rId1"/>
  <headerFooter alignWithMargins="0">
    <oddHeader>&amp;F</oddHeader>
    <oddFooter>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D1278-C37E-46B8-A59A-5A765B3174BF}">
  <dimension ref="B1:D13"/>
  <sheetViews>
    <sheetView showGridLines="0" workbookViewId="0">
      <selection activeCell="G25" sqref="G25"/>
    </sheetView>
  </sheetViews>
  <sheetFormatPr defaultRowHeight="13.2" x14ac:dyDescent="0.25"/>
  <cols>
    <col min="1" max="1" width="3" customWidth="1"/>
    <col min="2" max="2" width="13.77734375" customWidth="1"/>
    <col min="3" max="3" width="11.88671875" customWidth="1"/>
  </cols>
  <sheetData>
    <row r="1" spans="2:4" x14ac:dyDescent="0.25">
      <c r="B1" t="s">
        <v>115</v>
      </c>
    </row>
    <row r="2" spans="2:4" x14ac:dyDescent="0.25">
      <c r="B2" s="53" t="s">
        <v>116</v>
      </c>
      <c r="C2" s="51">
        <v>82.16</v>
      </c>
      <c r="D2" s="15" t="s">
        <v>122</v>
      </c>
    </row>
    <row r="3" spans="2:4" x14ac:dyDescent="0.25">
      <c r="B3" s="53" t="s">
        <v>117</v>
      </c>
      <c r="C3" s="51">
        <v>61.72</v>
      </c>
      <c r="D3" s="15" t="s">
        <v>118</v>
      </c>
    </row>
    <row r="4" spans="2:4" x14ac:dyDescent="0.25">
      <c r="B4" s="53" t="s">
        <v>119</v>
      </c>
      <c r="C4" s="51">
        <v>49835.08</v>
      </c>
    </row>
    <row r="7" spans="2:4" x14ac:dyDescent="0.25">
      <c r="B7" s="15" t="s">
        <v>128</v>
      </c>
    </row>
    <row r="8" spans="2:4" x14ac:dyDescent="0.25">
      <c r="B8" s="53" t="s">
        <v>121</v>
      </c>
      <c r="C8" s="51">
        <v>40.42</v>
      </c>
    </row>
    <row r="9" spans="2:4" x14ac:dyDescent="0.25">
      <c r="B9" s="53" t="s">
        <v>120</v>
      </c>
      <c r="C9" s="51">
        <v>48.49</v>
      </c>
    </row>
    <row r="10" spans="2:4" x14ac:dyDescent="0.25">
      <c r="B10" s="53" t="s">
        <v>117</v>
      </c>
      <c r="C10" s="51">
        <v>61.72</v>
      </c>
    </row>
    <row r="11" spans="2:4" x14ac:dyDescent="0.25">
      <c r="B11" s="53" t="s">
        <v>125</v>
      </c>
      <c r="C11" s="51">
        <v>73.67</v>
      </c>
    </row>
    <row r="12" spans="2:4" x14ac:dyDescent="0.25">
      <c r="B12" s="53" t="s">
        <v>123</v>
      </c>
      <c r="C12" s="51">
        <v>82.18</v>
      </c>
    </row>
    <row r="13" spans="2:4" x14ac:dyDescent="0.25">
      <c r="B13" s="53" t="s">
        <v>124</v>
      </c>
      <c r="C13" s="51">
        <v>145.12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1"/>
  <sheetViews>
    <sheetView topLeftCell="A16" zoomScaleNormal="100" workbookViewId="0">
      <selection activeCell="A67" sqref="A67:XFD68"/>
    </sheetView>
  </sheetViews>
  <sheetFormatPr defaultColWidth="8.77734375" defaultRowHeight="13.2" x14ac:dyDescent="0.25"/>
  <cols>
    <col min="1" max="3" width="8.77734375" customWidth="1"/>
    <col min="4" max="4" width="10.44140625" bestFit="1" customWidth="1"/>
    <col min="5" max="5" width="8" bestFit="1" customWidth="1"/>
    <col min="6" max="6" width="8.77734375" customWidth="1"/>
    <col min="7" max="7" width="16.5546875" customWidth="1"/>
    <col min="8" max="8" width="2.44140625" customWidth="1"/>
    <col min="9" max="9" width="19.88671875" customWidth="1"/>
    <col min="10" max="11" width="28.6640625" customWidth="1"/>
  </cols>
  <sheetData>
    <row r="1" spans="1:14" ht="13.8" x14ac:dyDescent="0.25">
      <c r="F1" s="7"/>
      <c r="G1" s="8" t="s">
        <v>69</v>
      </c>
      <c r="H1" s="8"/>
      <c r="I1" s="8"/>
      <c r="K1" s="15"/>
      <c r="L1" s="12"/>
    </row>
    <row r="2" spans="1:14" ht="13.8" x14ac:dyDescent="0.25">
      <c r="F2" s="7"/>
      <c r="G2" s="8" t="s">
        <v>34</v>
      </c>
      <c r="H2" s="8"/>
      <c r="I2" s="8" t="s">
        <v>35</v>
      </c>
      <c r="J2" s="12"/>
      <c r="K2" s="12"/>
      <c r="L2" s="12"/>
    </row>
    <row r="3" spans="1:14" ht="13.8" x14ac:dyDescent="0.25">
      <c r="F3" s="7"/>
      <c r="G3" s="8" t="s">
        <v>63</v>
      </c>
      <c r="H3" s="8"/>
      <c r="I3" s="8" t="s">
        <v>61</v>
      </c>
      <c r="J3" s="12"/>
      <c r="K3" s="12"/>
      <c r="L3" s="12"/>
    </row>
    <row r="4" spans="1:14" ht="13.8" x14ac:dyDescent="0.25">
      <c r="A4" s="5" t="s">
        <v>14</v>
      </c>
      <c r="G4">
        <v>15000</v>
      </c>
      <c r="I4" s="6">
        <v>7283.44</v>
      </c>
      <c r="K4" s="6"/>
      <c r="M4" s="15"/>
    </row>
    <row r="5" spans="1:14" ht="15" x14ac:dyDescent="0.25">
      <c r="A5" s="5" t="s">
        <v>0</v>
      </c>
      <c r="B5" s="2"/>
      <c r="C5" s="2"/>
      <c r="I5" s="6">
        <v>2122.14</v>
      </c>
      <c r="K5" s="6"/>
      <c r="M5" s="15"/>
    </row>
    <row r="6" spans="1:14" ht="15" x14ac:dyDescent="0.25">
      <c r="A6" s="5" t="s">
        <v>1</v>
      </c>
      <c r="B6" s="2"/>
      <c r="C6" s="2"/>
      <c r="G6">
        <v>500</v>
      </c>
      <c r="I6" s="8">
        <v>672.06</v>
      </c>
      <c r="N6" s="15"/>
    </row>
    <row r="7" spans="1:14" ht="13.8" x14ac:dyDescent="0.25">
      <c r="A7" s="5" t="s">
        <v>12</v>
      </c>
      <c r="B7" s="5"/>
      <c r="C7" s="5"/>
      <c r="D7" s="5"/>
      <c r="E7" s="5"/>
      <c r="G7">
        <v>240</v>
      </c>
      <c r="I7">
        <v>240</v>
      </c>
    </row>
    <row r="8" spans="1:14" ht="13.8" x14ac:dyDescent="0.25">
      <c r="A8" s="5" t="s">
        <v>2</v>
      </c>
      <c r="B8" s="5"/>
      <c r="C8" s="5"/>
      <c r="D8" s="5"/>
      <c r="E8" s="5"/>
      <c r="G8">
        <v>7500</v>
      </c>
      <c r="I8" s="6">
        <v>6250</v>
      </c>
    </row>
    <row r="9" spans="1:14" ht="13.8" x14ac:dyDescent="0.25">
      <c r="A9" s="5" t="s">
        <v>3</v>
      </c>
      <c r="B9" s="5"/>
      <c r="C9" s="5"/>
      <c r="D9" s="5"/>
      <c r="E9" s="5"/>
      <c r="G9">
        <v>500</v>
      </c>
      <c r="I9">
        <v>30</v>
      </c>
    </row>
    <row r="10" spans="1:14" ht="13.8" x14ac:dyDescent="0.25">
      <c r="A10" s="5" t="s">
        <v>22</v>
      </c>
      <c r="B10" s="5"/>
      <c r="C10" s="5"/>
      <c r="D10" s="5"/>
      <c r="G10">
        <v>8500</v>
      </c>
      <c r="I10">
        <v>5410.26</v>
      </c>
    </row>
    <row r="11" spans="1:14" ht="13.8" x14ac:dyDescent="0.25">
      <c r="A11" s="5" t="s">
        <v>4</v>
      </c>
      <c r="B11" s="5"/>
      <c r="C11" s="5"/>
      <c r="D11" s="5"/>
      <c r="G11">
        <v>920.08</v>
      </c>
      <c r="I11">
        <v>958.16</v>
      </c>
    </row>
    <row r="12" spans="1:14" ht="13.8" x14ac:dyDescent="0.25">
      <c r="A12" s="5" t="s">
        <v>16</v>
      </c>
      <c r="B12" s="5"/>
      <c r="C12" s="5"/>
      <c r="D12" s="5"/>
      <c r="G12">
        <v>800</v>
      </c>
      <c r="I12">
        <v>0</v>
      </c>
    </row>
    <row r="13" spans="1:14" ht="13.8" x14ac:dyDescent="0.25">
      <c r="A13" s="5" t="s">
        <v>36</v>
      </c>
      <c r="B13" s="5"/>
      <c r="C13" s="5"/>
      <c r="D13" s="5"/>
      <c r="G13">
        <v>450</v>
      </c>
      <c r="I13" s="15">
        <v>252.99</v>
      </c>
    </row>
    <row r="14" spans="1:14" ht="13.8" x14ac:dyDescent="0.25">
      <c r="A14" s="5" t="s">
        <v>13</v>
      </c>
      <c r="B14" s="5"/>
      <c r="C14" s="5"/>
      <c r="D14" s="5"/>
      <c r="G14">
        <v>30</v>
      </c>
      <c r="I14">
        <v>30</v>
      </c>
    </row>
    <row r="15" spans="1:14" ht="13.8" x14ac:dyDescent="0.25">
      <c r="A15" s="5" t="s">
        <v>18</v>
      </c>
      <c r="B15" s="5"/>
      <c r="C15" s="5"/>
      <c r="D15" s="5"/>
      <c r="G15">
        <v>200</v>
      </c>
      <c r="I15" s="15" t="s">
        <v>37</v>
      </c>
    </row>
    <row r="16" spans="1:14" ht="13.8" x14ac:dyDescent="0.25">
      <c r="A16" s="5" t="s">
        <v>5</v>
      </c>
      <c r="B16" s="5"/>
      <c r="C16" s="5"/>
      <c r="D16" s="5"/>
      <c r="G16">
        <v>1500</v>
      </c>
      <c r="I16" s="15">
        <v>0</v>
      </c>
    </row>
    <row r="17" spans="1:11" ht="13.8" x14ac:dyDescent="0.25">
      <c r="A17" s="5" t="s">
        <v>6</v>
      </c>
      <c r="B17" s="5"/>
      <c r="C17" s="5"/>
      <c r="D17" s="5"/>
      <c r="G17">
        <v>0</v>
      </c>
      <c r="I17" s="15">
        <v>0</v>
      </c>
    </row>
    <row r="18" spans="1:11" ht="13.8" x14ac:dyDescent="0.25">
      <c r="A18" s="5" t="s">
        <v>7</v>
      </c>
      <c r="B18" s="5"/>
      <c r="C18" s="5"/>
      <c r="D18" s="5"/>
      <c r="E18" s="5"/>
      <c r="G18">
        <v>200</v>
      </c>
      <c r="I18" s="15">
        <v>0</v>
      </c>
    </row>
    <row r="19" spans="1:11" ht="13.8" x14ac:dyDescent="0.25">
      <c r="A19" s="5" t="s">
        <v>8</v>
      </c>
      <c r="B19" s="5"/>
      <c r="C19" s="5"/>
      <c r="D19" s="5"/>
      <c r="E19" s="5"/>
      <c r="G19">
        <v>75</v>
      </c>
      <c r="I19">
        <v>119</v>
      </c>
    </row>
    <row r="20" spans="1:11" ht="13.8" x14ac:dyDescent="0.25">
      <c r="A20" s="5" t="s">
        <v>11</v>
      </c>
      <c r="B20" s="5"/>
      <c r="C20" s="5"/>
      <c r="D20" s="5"/>
      <c r="E20" s="5"/>
      <c r="G20">
        <v>420</v>
      </c>
      <c r="I20" s="8">
        <v>504</v>
      </c>
    </row>
    <row r="21" spans="1:11" ht="13.8" x14ac:dyDescent="0.25">
      <c r="A21" s="5" t="s">
        <v>15</v>
      </c>
      <c r="B21" s="5"/>
      <c r="C21" s="5"/>
      <c r="D21" s="5"/>
      <c r="E21" s="5"/>
      <c r="G21">
        <v>250</v>
      </c>
      <c r="I21">
        <v>250</v>
      </c>
    </row>
    <row r="22" spans="1:11" ht="13.8" x14ac:dyDescent="0.25">
      <c r="A22" s="5" t="s">
        <v>9</v>
      </c>
      <c r="B22" s="5"/>
      <c r="C22" s="5"/>
      <c r="D22" s="5"/>
      <c r="E22" s="5"/>
      <c r="G22">
        <v>2000</v>
      </c>
      <c r="I22">
        <v>0</v>
      </c>
    </row>
    <row r="23" spans="1:11" ht="13.8" x14ac:dyDescent="0.25">
      <c r="A23" s="5" t="s">
        <v>10</v>
      </c>
      <c r="B23" s="5"/>
      <c r="C23" s="5"/>
      <c r="D23" s="5"/>
      <c r="E23" s="5"/>
      <c r="G23">
        <v>250</v>
      </c>
      <c r="I23">
        <v>0</v>
      </c>
    </row>
    <row r="24" spans="1:11" s="15" customFormat="1" ht="13.8" x14ac:dyDescent="0.25">
      <c r="A24" s="5" t="s">
        <v>33</v>
      </c>
      <c r="B24" s="5"/>
      <c r="C24" s="5"/>
      <c r="D24" s="5"/>
      <c r="E24" s="5"/>
      <c r="H24" s="19"/>
    </row>
    <row r="25" spans="1:11" s="15" customFormat="1" ht="13.8" x14ac:dyDescent="0.25">
      <c r="A25" s="5" t="s">
        <v>32</v>
      </c>
      <c r="B25" s="5"/>
      <c r="C25" s="5"/>
      <c r="D25" s="5"/>
      <c r="E25" s="5"/>
      <c r="G25" s="15">
        <v>5000</v>
      </c>
      <c r="H25" s="19"/>
      <c r="I25" s="15">
        <v>22.5</v>
      </c>
    </row>
    <row r="26" spans="1:11" ht="13.8" x14ac:dyDescent="0.25">
      <c r="A26" s="5" t="s">
        <v>23</v>
      </c>
      <c r="B26" s="5"/>
      <c r="C26" s="5"/>
      <c r="D26" s="5"/>
      <c r="E26" s="5"/>
      <c r="G26" s="15">
        <v>350</v>
      </c>
      <c r="I26" s="15">
        <v>180.42</v>
      </c>
    </row>
    <row r="27" spans="1:11" s="9" customFormat="1" ht="15" x14ac:dyDescent="0.25">
      <c r="A27" s="5" t="s">
        <v>17</v>
      </c>
      <c r="B27" s="1"/>
      <c r="C27" s="1"/>
      <c r="D27" s="1"/>
      <c r="E27" s="1"/>
      <c r="G27" s="15">
        <v>750</v>
      </c>
      <c r="I27" s="15">
        <v>0</v>
      </c>
    </row>
    <row r="28" spans="1:11" s="9" customFormat="1" ht="15" x14ac:dyDescent="0.25">
      <c r="A28" s="5" t="s">
        <v>19</v>
      </c>
      <c r="B28" s="1"/>
      <c r="C28" s="1"/>
      <c r="D28" s="1"/>
      <c r="E28" s="1"/>
      <c r="G28" s="15">
        <v>200</v>
      </c>
      <c r="H28" s="15"/>
      <c r="I28" s="30" t="s">
        <v>37</v>
      </c>
    </row>
    <row r="29" spans="1:11" ht="15" x14ac:dyDescent="0.25">
      <c r="A29" s="5" t="s">
        <v>24</v>
      </c>
      <c r="B29" s="2"/>
      <c r="C29" s="2"/>
      <c r="D29" s="2"/>
      <c r="E29" s="2"/>
      <c r="G29" s="15">
        <v>4000</v>
      </c>
      <c r="H29" s="15"/>
      <c r="I29" s="10">
        <v>595</v>
      </c>
      <c r="J29" s="15" t="s">
        <v>55</v>
      </c>
      <c r="K29" s="15"/>
    </row>
    <row r="30" spans="1:11" ht="15" x14ac:dyDescent="0.25">
      <c r="A30" s="5" t="s">
        <v>21</v>
      </c>
      <c r="B30" s="2"/>
      <c r="C30" s="2"/>
      <c r="D30" s="2"/>
      <c r="E30" s="2"/>
      <c r="G30" s="15">
        <v>500</v>
      </c>
      <c r="H30" s="15"/>
      <c r="I30" s="30" t="s">
        <v>38</v>
      </c>
    </row>
    <row r="31" spans="1:11" ht="15" x14ac:dyDescent="0.25">
      <c r="A31" s="5" t="s">
        <v>20</v>
      </c>
      <c r="B31" s="2"/>
      <c r="C31" s="2"/>
      <c r="D31" s="2"/>
      <c r="E31" s="2"/>
      <c r="G31" s="15">
        <v>500</v>
      </c>
      <c r="H31" s="15"/>
      <c r="I31">
        <v>0</v>
      </c>
    </row>
    <row r="32" spans="1:11" ht="15" x14ac:dyDescent="0.25">
      <c r="A32" s="5" t="s">
        <v>26</v>
      </c>
      <c r="B32" s="2"/>
      <c r="C32" s="2"/>
      <c r="D32" s="2"/>
      <c r="E32" s="2"/>
      <c r="G32" s="15">
        <v>200</v>
      </c>
      <c r="H32" s="15"/>
      <c r="I32">
        <v>0</v>
      </c>
    </row>
    <row r="33" spans="1:9" ht="15" x14ac:dyDescent="0.25">
      <c r="A33" s="5"/>
      <c r="B33" s="2"/>
      <c r="C33" s="2"/>
      <c r="D33" s="2"/>
      <c r="E33" s="15"/>
      <c r="G33" s="21">
        <f>SUM(G4:G32)</f>
        <v>50835.08</v>
      </c>
      <c r="H33" s="13"/>
      <c r="I33" s="32">
        <f>SUM(I4:I32)</f>
        <v>24919.97</v>
      </c>
    </row>
    <row r="34" spans="1:9" ht="15" x14ac:dyDescent="0.25">
      <c r="A34" s="14" t="s">
        <v>51</v>
      </c>
      <c r="B34" s="2"/>
      <c r="C34" s="2"/>
      <c r="D34" s="2"/>
      <c r="E34" s="2"/>
      <c r="H34" s="12"/>
    </row>
    <row r="35" spans="1:9" ht="15" x14ac:dyDescent="0.25">
      <c r="A35" s="31" t="s">
        <v>52</v>
      </c>
      <c r="B35" s="2"/>
      <c r="C35" s="2"/>
      <c r="D35" s="2"/>
      <c r="E35" s="2"/>
      <c r="H35" s="12"/>
    </row>
    <row r="36" spans="1:9" ht="15" x14ac:dyDescent="0.25">
      <c r="A36" s="31" t="s">
        <v>57</v>
      </c>
      <c r="B36" s="2"/>
      <c r="C36" s="2"/>
      <c r="D36" s="2"/>
      <c r="E36" s="2"/>
    </row>
    <row r="37" spans="1:9" ht="15" x14ac:dyDescent="0.25">
      <c r="A37" s="31" t="s">
        <v>56</v>
      </c>
      <c r="B37" s="2"/>
      <c r="C37" s="2"/>
      <c r="D37" s="2"/>
      <c r="E37" s="2"/>
    </row>
    <row r="38" spans="1:9" ht="15" x14ac:dyDescent="0.25">
      <c r="A38" s="31" t="s">
        <v>58</v>
      </c>
      <c r="B38" s="2"/>
      <c r="C38" s="2"/>
      <c r="D38" s="2"/>
      <c r="E38" s="2"/>
    </row>
    <row r="39" spans="1:9" ht="15" x14ac:dyDescent="0.25">
      <c r="A39" s="31" t="s">
        <v>59</v>
      </c>
      <c r="B39" s="2"/>
      <c r="C39" s="2"/>
      <c r="D39" s="2"/>
      <c r="E39" s="2"/>
    </row>
    <row r="40" spans="1:9" ht="15" x14ac:dyDescent="0.25">
      <c r="A40" s="5"/>
      <c r="B40" s="2"/>
      <c r="C40" s="2"/>
      <c r="D40" s="2"/>
      <c r="E40" s="2"/>
    </row>
    <row r="41" spans="1:9" ht="15" x14ac:dyDescent="0.25">
      <c r="A41" s="18" t="s">
        <v>31</v>
      </c>
      <c r="B41" s="2"/>
      <c r="C41" s="2"/>
      <c r="D41" s="2"/>
      <c r="E41" s="2"/>
    </row>
    <row r="42" spans="1:9" s="15" customFormat="1" ht="15" x14ac:dyDescent="0.25">
      <c r="A42" s="27" t="s">
        <v>27</v>
      </c>
      <c r="B42" s="1"/>
      <c r="C42" s="5"/>
      <c r="D42" s="1"/>
      <c r="E42" s="1"/>
      <c r="G42" s="15">
        <v>3500</v>
      </c>
      <c r="H42" s="20"/>
    </row>
    <row r="43" spans="1:9" s="15" customFormat="1" ht="15" x14ac:dyDescent="0.25">
      <c r="A43" s="5" t="s">
        <v>39</v>
      </c>
      <c r="B43" s="1"/>
      <c r="C43" s="5"/>
      <c r="D43" s="1"/>
      <c r="E43" s="1"/>
      <c r="G43" s="19"/>
      <c r="H43" s="20"/>
      <c r="I43" s="15">
        <v>3000</v>
      </c>
    </row>
    <row r="44" spans="1:9" s="15" customFormat="1" ht="15" x14ac:dyDescent="0.25">
      <c r="A44" s="5"/>
      <c r="B44" s="1"/>
      <c r="C44" s="5"/>
      <c r="D44" s="1"/>
      <c r="E44" s="1"/>
      <c r="H44" s="20"/>
    </row>
    <row r="45" spans="1:9" ht="15" x14ac:dyDescent="0.25">
      <c r="A45" s="27" t="s">
        <v>28</v>
      </c>
      <c r="B45" s="28"/>
      <c r="C45" s="2"/>
      <c r="D45" s="2"/>
      <c r="E45" s="2"/>
      <c r="G45">
        <v>3000</v>
      </c>
      <c r="H45" s="15"/>
    </row>
    <row r="46" spans="1:9" ht="15" x14ac:dyDescent="0.25">
      <c r="A46" s="5" t="s">
        <v>40</v>
      </c>
      <c r="B46" s="2"/>
      <c r="C46" s="2"/>
      <c r="D46" s="2"/>
      <c r="E46" s="2"/>
      <c r="H46" s="15"/>
    </row>
    <row r="47" spans="1:9" ht="15" x14ac:dyDescent="0.25">
      <c r="A47" s="5" t="s">
        <v>42</v>
      </c>
      <c r="B47" s="2"/>
      <c r="C47" s="2"/>
      <c r="D47" s="2"/>
      <c r="E47" s="2"/>
      <c r="H47" s="15"/>
      <c r="I47">
        <v>170</v>
      </c>
    </row>
    <row r="48" spans="1:9" ht="15" x14ac:dyDescent="0.25">
      <c r="A48" s="5"/>
      <c r="B48" s="2"/>
      <c r="C48" s="2"/>
      <c r="D48" s="2"/>
      <c r="E48" s="2"/>
      <c r="H48" s="15"/>
    </row>
    <row r="49" spans="1:9" ht="15" x14ac:dyDescent="0.25">
      <c r="A49" s="27" t="s">
        <v>30</v>
      </c>
      <c r="B49" s="2"/>
      <c r="C49" s="2"/>
      <c r="D49" s="2"/>
      <c r="E49" s="2"/>
      <c r="G49">
        <v>4000</v>
      </c>
      <c r="H49" s="15"/>
    </row>
    <row r="50" spans="1:9" ht="15" x14ac:dyDescent="0.25">
      <c r="A50" s="22"/>
      <c r="B50" s="2"/>
      <c r="C50" s="2"/>
      <c r="D50" s="2"/>
      <c r="E50" s="2"/>
      <c r="H50" s="15"/>
    </row>
    <row r="51" spans="1:9" ht="15" x14ac:dyDescent="0.25">
      <c r="A51" s="27" t="s">
        <v>29</v>
      </c>
      <c r="B51" s="2"/>
      <c r="C51" s="2"/>
      <c r="D51" s="2"/>
      <c r="E51" s="2"/>
      <c r="G51">
        <v>10000</v>
      </c>
      <c r="H51" s="19"/>
    </row>
    <row r="52" spans="1:9" ht="15" x14ac:dyDescent="0.25">
      <c r="A52" s="24" t="s">
        <v>41</v>
      </c>
      <c r="B52" s="2"/>
      <c r="C52" s="2"/>
      <c r="D52" s="2"/>
      <c r="E52" s="2"/>
      <c r="H52" s="19"/>
      <c r="I52" s="6">
        <v>5000</v>
      </c>
    </row>
    <row r="53" spans="1:9" ht="15" x14ac:dyDescent="0.25">
      <c r="A53" s="23" t="s">
        <v>53</v>
      </c>
      <c r="B53" s="25"/>
      <c r="C53" s="25"/>
      <c r="D53" s="25"/>
      <c r="E53" s="25"/>
      <c r="H53" s="19"/>
    </row>
    <row r="54" spans="1:9" ht="15" x14ac:dyDescent="0.25">
      <c r="A54" s="23" t="s">
        <v>43</v>
      </c>
      <c r="B54" s="25"/>
      <c r="C54" s="25"/>
      <c r="D54" s="25"/>
      <c r="E54" s="25"/>
      <c r="H54" s="19"/>
    </row>
    <row r="55" spans="1:9" ht="15.6" x14ac:dyDescent="0.3">
      <c r="A55" s="23" t="s">
        <v>44</v>
      </c>
      <c r="B55" s="25"/>
      <c r="C55" s="25"/>
      <c r="D55" s="26"/>
      <c r="E55" s="25"/>
      <c r="H55" s="12"/>
    </row>
    <row r="56" spans="1:9" ht="15" x14ac:dyDescent="0.25">
      <c r="A56" s="23" t="s">
        <v>47</v>
      </c>
      <c r="B56" s="25"/>
      <c r="C56" s="25"/>
      <c r="D56" s="25"/>
      <c r="E56" s="25"/>
    </row>
    <row r="57" spans="1:9" ht="15" x14ac:dyDescent="0.25">
      <c r="A57" s="23" t="s">
        <v>45</v>
      </c>
      <c r="B57" s="25"/>
      <c r="C57" s="25"/>
      <c r="D57" s="25"/>
      <c r="E57" s="25"/>
    </row>
    <row r="58" spans="1:9" ht="15" x14ac:dyDescent="0.25">
      <c r="A58" s="23" t="s">
        <v>46</v>
      </c>
      <c r="B58" s="25"/>
      <c r="C58" s="25"/>
      <c r="D58" s="25"/>
      <c r="E58" s="25"/>
    </row>
    <row r="59" spans="1:9" ht="15.6" x14ac:dyDescent="0.3">
      <c r="A59" s="23" t="s">
        <v>48</v>
      </c>
      <c r="B59" s="3"/>
      <c r="C59" s="2"/>
      <c r="D59" s="2"/>
      <c r="E59" s="2"/>
      <c r="F59" s="6"/>
      <c r="G59" s="17"/>
    </row>
    <row r="60" spans="1:9" ht="15.6" x14ac:dyDescent="0.3">
      <c r="A60" s="16"/>
      <c r="C60" s="1"/>
      <c r="E60" s="9"/>
    </row>
    <row r="61" spans="1:9" ht="10.8" customHeight="1" x14ac:dyDescent="0.25">
      <c r="A61" s="5" t="s">
        <v>49</v>
      </c>
      <c r="C61" s="1"/>
    </row>
    <row r="62" spans="1:9" ht="10.8" customHeight="1" x14ac:dyDescent="0.25">
      <c r="A62" s="5" t="s">
        <v>50</v>
      </c>
      <c r="C62" s="1"/>
      <c r="I62">
        <v>92.94</v>
      </c>
    </row>
    <row r="63" spans="1:9" ht="13.8" x14ac:dyDescent="0.25">
      <c r="A63" s="5"/>
      <c r="F63" s="6"/>
    </row>
    <row r="64" spans="1:9" ht="13.8" x14ac:dyDescent="0.25">
      <c r="A64" s="5" t="s">
        <v>54</v>
      </c>
      <c r="F64" s="10"/>
      <c r="I64" s="29">
        <v>200</v>
      </c>
    </row>
    <row r="65" spans="1:9" ht="13.8" x14ac:dyDescent="0.25">
      <c r="A65" s="5"/>
      <c r="E65" s="9"/>
      <c r="F65" s="10"/>
      <c r="I65" s="6"/>
    </row>
    <row r="66" spans="1:9" ht="13.8" x14ac:dyDescent="0.25">
      <c r="A66" s="5"/>
      <c r="D66" s="12" t="s">
        <v>60</v>
      </c>
      <c r="E66" s="9"/>
      <c r="F66" s="10"/>
      <c r="I66" s="33">
        <v>33129.919999999998</v>
      </c>
    </row>
    <row r="67" spans="1:9" ht="13.8" x14ac:dyDescent="0.25">
      <c r="A67" s="5"/>
      <c r="E67" s="13"/>
      <c r="F67" s="10"/>
    </row>
    <row r="68" spans="1:9" ht="13.8" x14ac:dyDescent="0.25">
      <c r="A68" s="18" t="s">
        <v>64</v>
      </c>
      <c r="E68" s="13"/>
      <c r="F68" s="10"/>
    </row>
    <row r="69" spans="1:9" ht="13.8" x14ac:dyDescent="0.25">
      <c r="A69" s="5"/>
      <c r="E69" s="13"/>
      <c r="F69" s="10"/>
    </row>
    <row r="70" spans="1:9" ht="13.8" x14ac:dyDescent="0.25">
      <c r="A70" s="5" t="s">
        <v>65</v>
      </c>
      <c r="E70" s="13"/>
      <c r="F70" s="10"/>
      <c r="G70">
        <v>49835.08</v>
      </c>
    </row>
    <row r="71" spans="1:9" ht="13.8" x14ac:dyDescent="0.25">
      <c r="A71" s="5" t="s">
        <v>66</v>
      </c>
      <c r="C71" s="12"/>
      <c r="E71" s="10"/>
      <c r="F71" s="10"/>
      <c r="G71">
        <v>515.83000000000004</v>
      </c>
    </row>
    <row r="72" spans="1:9" ht="13.8" x14ac:dyDescent="0.25">
      <c r="A72" s="5" t="s">
        <v>68</v>
      </c>
      <c r="G72">
        <v>340</v>
      </c>
    </row>
    <row r="73" spans="1:9" ht="13.8" x14ac:dyDescent="0.25">
      <c r="A73" s="5" t="s">
        <v>67</v>
      </c>
      <c r="G73" s="13">
        <v>38.71</v>
      </c>
    </row>
    <row r="74" spans="1:9" ht="14.4" x14ac:dyDescent="0.3">
      <c r="A74" s="11"/>
      <c r="E74" s="6"/>
      <c r="G74">
        <f>SUM(G70:G73)</f>
        <v>50729.62</v>
      </c>
    </row>
    <row r="75" spans="1:9" x14ac:dyDescent="0.25">
      <c r="A75" s="15" t="s">
        <v>25</v>
      </c>
    </row>
    <row r="76" spans="1:9" x14ac:dyDescent="0.25">
      <c r="A76" s="15" t="s">
        <v>25</v>
      </c>
    </row>
    <row r="77" spans="1:9" x14ac:dyDescent="0.25">
      <c r="A77" s="15" t="s">
        <v>25</v>
      </c>
    </row>
    <row r="78" spans="1:9" x14ac:dyDescent="0.25">
      <c r="A78" s="15" t="s">
        <v>25</v>
      </c>
    </row>
    <row r="79" spans="1:9" x14ac:dyDescent="0.25">
      <c r="A79" s="15" t="s">
        <v>25</v>
      </c>
    </row>
    <row r="109" spans="1:7" x14ac:dyDescent="0.25">
      <c r="G109" s="4"/>
    </row>
    <row r="111" spans="1:7" s="4" customFormat="1" x14ac:dyDescent="0.25">
      <c r="A111"/>
      <c r="B111"/>
      <c r="C111"/>
      <c r="D111"/>
      <c r="E111"/>
      <c r="F111"/>
      <c r="G111"/>
    </row>
  </sheetData>
  <phoneticPr fontId="0" type="noConversion"/>
  <printOptions gridLines="1"/>
  <pageMargins left="0.74803149606299213" right="0.74803149606299213" top="0.59055118110236227" bottom="0.19685039370078741" header="0.51181102362204722" footer="0.51181102362204722"/>
  <pageSetup paperSize="9" orientation="landscape" r:id="rId1"/>
  <headerFooter alignWithMargins="0">
    <oddHeader>&amp;A</oddHeader>
    <oddFooter>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BE705-49E9-409C-9B4B-B30BB8A0E8ED}">
  <dimension ref="A1:H35"/>
  <sheetViews>
    <sheetView workbookViewId="0">
      <selection activeCell="H19" sqref="H19"/>
    </sheetView>
  </sheetViews>
  <sheetFormatPr defaultRowHeight="14.4" x14ac:dyDescent="0.3"/>
  <cols>
    <col min="1" max="6" width="8.88671875" style="34"/>
    <col min="7" max="7" width="9.109375" style="34" bestFit="1" customWidth="1"/>
    <col min="8" max="16384" width="8.88671875" style="34"/>
  </cols>
  <sheetData>
    <row r="1" spans="1:8" x14ac:dyDescent="0.3">
      <c r="A1" s="52" t="s">
        <v>110</v>
      </c>
      <c r="D1" s="35"/>
    </row>
    <row r="3" spans="1:8" x14ac:dyDescent="0.3">
      <c r="A3" s="35" t="s">
        <v>70</v>
      </c>
    </row>
    <row r="5" spans="1:8" x14ac:dyDescent="0.3">
      <c r="A5" s="34" t="s">
        <v>71</v>
      </c>
      <c r="G5" s="36">
        <v>40828.71</v>
      </c>
    </row>
    <row r="7" spans="1:8" x14ac:dyDescent="0.3">
      <c r="A7" s="35" t="s">
        <v>72</v>
      </c>
    </row>
    <row r="8" spans="1:8" x14ac:dyDescent="0.3">
      <c r="A8" s="34" t="s">
        <v>73</v>
      </c>
      <c r="E8" s="36">
        <v>2402.7600000000002</v>
      </c>
    </row>
    <row r="9" spans="1:8" x14ac:dyDescent="0.3">
      <c r="A9" s="34" t="s">
        <v>74</v>
      </c>
      <c r="E9" s="37">
        <v>30</v>
      </c>
      <c r="G9" s="38">
        <v>2432.7600000000002</v>
      </c>
    </row>
    <row r="10" spans="1:8" x14ac:dyDescent="0.3">
      <c r="G10" s="36">
        <v>38395.949999999997</v>
      </c>
    </row>
    <row r="11" spans="1:8" x14ac:dyDescent="0.3">
      <c r="A11" s="39" t="s">
        <v>75</v>
      </c>
    </row>
    <row r="13" spans="1:8" x14ac:dyDescent="0.3">
      <c r="A13" s="34" t="s">
        <v>14</v>
      </c>
      <c r="E13" s="46">
        <v>1389</v>
      </c>
      <c r="H13" s="54" t="s">
        <v>132</v>
      </c>
    </row>
    <row r="14" spans="1:8" x14ac:dyDescent="0.3">
      <c r="A14" s="34" t="s">
        <v>1</v>
      </c>
      <c r="E14" s="34">
        <v>75</v>
      </c>
      <c r="H14" s="45" t="s">
        <v>105</v>
      </c>
    </row>
    <row r="15" spans="1:8" x14ac:dyDescent="0.3">
      <c r="A15" s="34" t="s">
        <v>76</v>
      </c>
      <c r="E15" s="46">
        <v>1250</v>
      </c>
      <c r="H15" s="54" t="s">
        <v>143</v>
      </c>
    </row>
    <row r="16" spans="1:8" x14ac:dyDescent="0.3">
      <c r="E16" s="46"/>
      <c r="H16" s="54"/>
    </row>
    <row r="17" spans="1:8" x14ac:dyDescent="0.3">
      <c r="A17" s="55" t="s">
        <v>138</v>
      </c>
      <c r="E17" s="46">
        <v>400</v>
      </c>
      <c r="H17" s="44" t="s">
        <v>103</v>
      </c>
    </row>
    <row r="18" spans="1:8" x14ac:dyDescent="0.3">
      <c r="A18" s="34" t="s">
        <v>77</v>
      </c>
      <c r="E18" s="45">
        <v>250</v>
      </c>
    </row>
    <row r="19" spans="1:8" x14ac:dyDescent="0.3">
      <c r="A19" s="34" t="s">
        <v>78</v>
      </c>
      <c r="E19" s="46">
        <v>1500</v>
      </c>
    </row>
    <row r="20" spans="1:8" x14ac:dyDescent="0.3">
      <c r="A20" s="34" t="s">
        <v>79</v>
      </c>
      <c r="E20" s="46">
        <v>200</v>
      </c>
    </row>
    <row r="21" spans="1:8" x14ac:dyDescent="0.3">
      <c r="A21" s="34" t="s">
        <v>20</v>
      </c>
      <c r="E21" s="46">
        <v>500</v>
      </c>
    </row>
    <row r="22" spans="1:8" x14ac:dyDescent="0.3">
      <c r="A22" s="34" t="s">
        <v>80</v>
      </c>
      <c r="E22" s="40"/>
      <c r="H22" s="54" t="s">
        <v>137</v>
      </c>
    </row>
    <row r="23" spans="1:8" x14ac:dyDescent="0.3">
      <c r="A23" s="34" t="s">
        <v>81</v>
      </c>
      <c r="E23" s="46">
        <v>500</v>
      </c>
      <c r="H23" s="45" t="s">
        <v>102</v>
      </c>
    </row>
    <row r="24" spans="1:8" x14ac:dyDescent="0.3">
      <c r="A24" s="34" t="s">
        <v>82</v>
      </c>
      <c r="E24" s="40">
        <v>70</v>
      </c>
      <c r="H24" s="45" t="s">
        <v>104</v>
      </c>
    </row>
    <row r="25" spans="1:8" x14ac:dyDescent="0.3">
      <c r="A25" s="34" t="s">
        <v>83</v>
      </c>
      <c r="E25" s="41">
        <v>70</v>
      </c>
      <c r="G25" s="42">
        <v>-6364</v>
      </c>
      <c r="H25" s="45" t="s">
        <v>104</v>
      </c>
    </row>
    <row r="26" spans="1:8" x14ac:dyDescent="0.3">
      <c r="G26" s="43">
        <v>32031.95</v>
      </c>
    </row>
    <row r="29" spans="1:8" x14ac:dyDescent="0.3">
      <c r="A29" s="35" t="s">
        <v>84</v>
      </c>
    </row>
    <row r="31" spans="1:8" x14ac:dyDescent="0.3">
      <c r="A31" s="34" t="s">
        <v>85</v>
      </c>
    </row>
    <row r="32" spans="1:8" x14ac:dyDescent="0.3">
      <c r="A32" s="34" t="s">
        <v>86</v>
      </c>
    </row>
    <row r="33" spans="1:1" x14ac:dyDescent="0.3">
      <c r="A33" s="34" t="s">
        <v>87</v>
      </c>
    </row>
    <row r="34" spans="1:1" x14ac:dyDescent="0.3">
      <c r="A34" s="34" t="s">
        <v>88</v>
      </c>
    </row>
    <row r="35" spans="1:1" x14ac:dyDescent="0.3">
      <c r="A35" s="34" t="s">
        <v>89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5F8A9-0FE5-4755-924D-7DD11A44495B}">
  <dimension ref="A1:B6"/>
  <sheetViews>
    <sheetView showGridLines="0" workbookViewId="0">
      <selection activeCell="B7" sqref="B7"/>
    </sheetView>
  </sheetViews>
  <sheetFormatPr defaultRowHeight="13.2" x14ac:dyDescent="0.25"/>
  <cols>
    <col min="2" max="2" width="61" customWidth="1"/>
  </cols>
  <sheetData>
    <row r="1" spans="1:2" x14ac:dyDescent="0.25">
      <c r="A1" s="15" t="s">
        <v>90</v>
      </c>
    </row>
    <row r="2" spans="1:2" x14ac:dyDescent="0.25">
      <c r="B2" s="15" t="s">
        <v>91</v>
      </c>
    </row>
    <row r="6" spans="1:2" x14ac:dyDescent="0.25">
      <c r="B6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Forecast Spend 24-25</vt:lpstr>
      <vt:lpstr>Comparable Precepts</vt:lpstr>
      <vt:lpstr>Spend to End Nov</vt:lpstr>
      <vt:lpstr>Anticipated spend to End Year</vt:lpstr>
      <vt:lpstr>Notes</vt:lpstr>
      <vt:lpstr>'Forecast Spend 24-25'!Print_Titles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Woodland</dc:creator>
  <cp:lastModifiedBy>Sheila Woodland</cp:lastModifiedBy>
  <cp:lastPrinted>2025-01-14T09:50:38Z</cp:lastPrinted>
  <dcterms:created xsi:type="dcterms:W3CDTF">2014-01-14T20:01:44Z</dcterms:created>
  <dcterms:modified xsi:type="dcterms:W3CDTF">2025-03-28T20:25:18Z</dcterms:modified>
</cp:coreProperties>
</file>